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AAA-Schenk\Formulare\Checklisten\Für Homepage\"/>
    </mc:Choice>
  </mc:AlternateContent>
  <bookViews>
    <workbookView xWindow="0" yWindow="0" windowWidth="30720" windowHeight="13515" tabRatio="718"/>
  </bookViews>
  <sheets>
    <sheet name="Dateneingabe" sheetId="4" r:id="rId1"/>
    <sheet name="Gesamtübersicht" sheetId="3" r:id="rId2"/>
    <sheet name="Januar" sheetId="1" r:id="rId3"/>
    <sheet name="Februar" sheetId="2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  <sheet name="September" sheetId="11" r:id="rId11"/>
    <sheet name="Oktober" sheetId="12" r:id="rId12"/>
    <sheet name="November" sheetId="13" r:id="rId13"/>
    <sheet name="Dezember" sheetId="14" r:id="rId14"/>
  </sheets>
  <definedNames>
    <definedName name="_xlnm.Print_Area" localSheetId="5">April!$A$1:$F$45</definedName>
    <definedName name="_xlnm.Print_Area" localSheetId="9">August!$A$1:$F$45</definedName>
    <definedName name="_xlnm.Print_Area" localSheetId="0">Dateneingabe!$A$1:$E$39</definedName>
    <definedName name="_xlnm.Print_Area" localSheetId="13">Dezember!$A$1:$F$45</definedName>
    <definedName name="_xlnm.Print_Area" localSheetId="3">Februar!$A$1:$F$45</definedName>
    <definedName name="_xlnm.Print_Area" localSheetId="1">Gesamtübersicht!$A$1:$F$36</definedName>
    <definedName name="_xlnm.Print_Area" localSheetId="2">Januar!$A$1:$F$45</definedName>
    <definedName name="_xlnm.Print_Area" localSheetId="8">Juli!$A$1:$F$45</definedName>
    <definedName name="_xlnm.Print_Area" localSheetId="7">Juni!$A$1:$F$45</definedName>
    <definedName name="_xlnm.Print_Area" localSheetId="6">Mai!$A$1:$F$45</definedName>
    <definedName name="_xlnm.Print_Area" localSheetId="4">März!$A$1:$F$45</definedName>
    <definedName name="_xlnm.Print_Area" localSheetId="12">November!$A$1:$F$45</definedName>
    <definedName name="_xlnm.Print_Area" localSheetId="11">Oktober!$A$1:$F$45</definedName>
    <definedName name="_xlnm.Print_Area" localSheetId="10">September!$A$1:$F$45</definedName>
    <definedName name="Monat">Dateneingabe!$O$7:$O$20</definedName>
  </definedNames>
  <calcPr calcId="152511"/>
</workbook>
</file>

<file path=xl/calcChain.xml><?xml version="1.0" encoding="utf-8"?>
<calcChain xmlns="http://schemas.openxmlformats.org/spreadsheetml/2006/main">
  <c r="B23" i="3" l="1"/>
  <c r="B22" i="3"/>
  <c r="E41" i="14" l="1"/>
  <c r="E41" i="13"/>
  <c r="E41" i="12"/>
  <c r="E41" i="11"/>
  <c r="E41" i="10"/>
  <c r="E41" i="9"/>
  <c r="E41" i="8"/>
  <c r="E41" i="7"/>
  <c r="E41" i="6"/>
  <c r="E41" i="5"/>
  <c r="H14" i="2" l="1"/>
  <c r="H14" i="5"/>
  <c r="H14" i="6"/>
  <c r="H14" i="7"/>
  <c r="H14" i="8"/>
  <c r="H14" i="9"/>
  <c r="H14" i="10"/>
  <c r="H14" i="11"/>
  <c r="H14" i="12"/>
  <c r="H14" i="13"/>
  <c r="H14" i="14"/>
  <c r="H14" i="1"/>
  <c r="H12" i="2"/>
  <c r="H13" i="2"/>
  <c r="H12" i="5"/>
  <c r="H13" i="5"/>
  <c r="H12" i="6"/>
  <c r="H13" i="6"/>
  <c r="H12" i="7"/>
  <c r="H13" i="7"/>
  <c r="H12" i="8"/>
  <c r="H13" i="8"/>
  <c r="H12" i="9"/>
  <c r="H13" i="9"/>
  <c r="H12" i="10"/>
  <c r="H13" i="10"/>
  <c r="H12" i="11"/>
  <c r="H13" i="11"/>
  <c r="H12" i="12"/>
  <c r="H13" i="12"/>
  <c r="H12" i="13"/>
  <c r="H13" i="13"/>
  <c r="H12" i="14"/>
  <c r="H13" i="14"/>
  <c r="H12" i="1"/>
  <c r="H13" i="1"/>
  <c r="H6" i="2"/>
  <c r="H6" i="5"/>
  <c r="H6" i="6"/>
  <c r="H6" i="7"/>
  <c r="H6" i="8"/>
  <c r="H6" i="9"/>
  <c r="H6" i="10"/>
  <c r="H6" i="11"/>
  <c r="H6" i="12"/>
  <c r="H6" i="13"/>
  <c r="H6" i="14"/>
  <c r="H6" i="1"/>
  <c r="H5" i="2"/>
  <c r="H5" i="5"/>
  <c r="H5" i="6"/>
  <c r="H5" i="7"/>
  <c r="H5" i="8"/>
  <c r="H5" i="9"/>
  <c r="H5" i="10"/>
  <c r="H5" i="11"/>
  <c r="H5" i="12"/>
  <c r="H5" i="13"/>
  <c r="H5" i="14"/>
  <c r="H5" i="1"/>
  <c r="H4" i="2"/>
  <c r="H4" i="5"/>
  <c r="H4" i="6"/>
  <c r="H4" i="7"/>
  <c r="H4" i="8"/>
  <c r="H4" i="9"/>
  <c r="H4" i="10"/>
  <c r="H4" i="11"/>
  <c r="H4" i="12"/>
  <c r="H4" i="13"/>
  <c r="H4" i="14"/>
  <c r="H4" i="1"/>
  <c r="H3" i="2"/>
  <c r="H3" i="5"/>
  <c r="H3" i="6"/>
  <c r="H3" i="7"/>
  <c r="H3" i="8"/>
  <c r="H3" i="9"/>
  <c r="H3" i="10"/>
  <c r="H3" i="11"/>
  <c r="H3" i="12"/>
  <c r="H3" i="13"/>
  <c r="H3" i="14"/>
  <c r="H3" i="1"/>
  <c r="H2" i="2"/>
  <c r="H2" i="5"/>
  <c r="H2" i="6"/>
  <c r="H2" i="7"/>
  <c r="H2" i="8"/>
  <c r="H2" i="9"/>
  <c r="H2" i="10"/>
  <c r="H2" i="11"/>
  <c r="H2" i="12"/>
  <c r="H2" i="13"/>
  <c r="H2" i="14"/>
  <c r="H2" i="1"/>
  <c r="H11" i="1"/>
  <c r="H11" i="2" l="1"/>
  <c r="H11" i="5"/>
  <c r="H11" i="6"/>
  <c r="H11" i="7"/>
  <c r="H11" i="8"/>
  <c r="H11" i="9"/>
  <c r="H11" i="10"/>
  <c r="H11" i="11"/>
  <c r="H11" i="12"/>
  <c r="H11" i="13"/>
  <c r="H11" i="14"/>
  <c r="H7" i="1" l="1"/>
  <c r="H8" i="1"/>
  <c r="H9" i="1"/>
  <c r="H10" i="1"/>
  <c r="H7" i="2"/>
  <c r="H8" i="2"/>
  <c r="H9" i="2"/>
  <c r="H10" i="2"/>
  <c r="H7" i="5"/>
  <c r="H8" i="5"/>
  <c r="H9" i="5"/>
  <c r="H10" i="5"/>
  <c r="H7" i="6"/>
  <c r="H8" i="6"/>
  <c r="H9" i="6"/>
  <c r="H10" i="6"/>
  <c r="H7" i="7"/>
  <c r="H8" i="7"/>
  <c r="H9" i="7"/>
  <c r="H10" i="7"/>
  <c r="H7" i="8"/>
  <c r="H8" i="8"/>
  <c r="H9" i="8"/>
  <c r="H10" i="8"/>
  <c r="H7" i="10"/>
  <c r="H8" i="10"/>
  <c r="H9" i="10"/>
  <c r="H10" i="10"/>
  <c r="H7" i="9"/>
  <c r="H8" i="9"/>
  <c r="H9" i="9"/>
  <c r="H10" i="9"/>
  <c r="H7" i="11"/>
  <c r="H8" i="11"/>
  <c r="H9" i="11"/>
  <c r="H10" i="11"/>
  <c r="H7" i="12"/>
  <c r="H8" i="12"/>
  <c r="H9" i="12"/>
  <c r="H10" i="12"/>
  <c r="H7" i="13"/>
  <c r="H8" i="13"/>
  <c r="H9" i="13"/>
  <c r="H10" i="13"/>
  <c r="H7" i="14"/>
  <c r="H8" i="14"/>
  <c r="H9" i="14"/>
  <c r="H10" i="14"/>
  <c r="J18" i="4" l="1"/>
  <c r="I18" i="4"/>
  <c r="I12" i="4"/>
  <c r="J12" i="4" s="1"/>
  <c r="L12" i="4" s="1"/>
  <c r="L18" i="4" l="1"/>
  <c r="A37" i="14" l="1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E35" i="2"/>
  <c r="A35" i="2"/>
  <c r="A32" i="1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B5" i="3" l="1"/>
  <c r="B4" i="3" l="1"/>
  <c r="B4" i="5"/>
  <c r="B4" i="6"/>
  <c r="B4" i="7"/>
  <c r="B4" i="8"/>
  <c r="B4" i="9"/>
  <c r="B4" i="10"/>
  <c r="B4" i="11"/>
  <c r="B4" i="12"/>
  <c r="B4" i="13"/>
  <c r="B4" i="14"/>
  <c r="B4" i="2"/>
  <c r="B4" i="1"/>
  <c r="B8" i="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40" i="13" s="1"/>
  <c r="E8" i="13"/>
  <c r="E7" i="13"/>
  <c r="E37" i="13" s="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40" i="11" s="1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8" s="1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40" i="6" s="1"/>
  <c r="C11" i="3" s="1"/>
  <c r="E8" i="6"/>
  <c r="E7" i="6"/>
  <c r="E37" i="6" s="1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40" i="14" s="1"/>
  <c r="C19" i="3" s="1"/>
  <c r="E7" i="14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38" i="12" s="1"/>
  <c r="E10" i="12"/>
  <c r="E9" i="12"/>
  <c r="E8" i="12"/>
  <c r="E7" i="12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38" i="10" s="1"/>
  <c r="E11" i="10"/>
  <c r="E10" i="10"/>
  <c r="E9" i="10"/>
  <c r="E8" i="10"/>
  <c r="E7" i="10"/>
  <c r="E40" i="10" s="1"/>
  <c r="C15" i="3" s="1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40" i="9" s="1"/>
  <c r="C14" i="3" s="1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40" i="7" s="1"/>
  <c r="C12" i="3" s="1"/>
  <c r="E7" i="7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8" i="1"/>
  <c r="E7" i="1"/>
  <c r="B3" i="14"/>
  <c r="B2" i="14"/>
  <c r="B1" i="14"/>
  <c r="B3" i="13"/>
  <c r="B2" i="13"/>
  <c r="B1" i="13"/>
  <c r="B3" i="12"/>
  <c r="B2" i="12"/>
  <c r="B1" i="12"/>
  <c r="B3" i="11"/>
  <c r="B2" i="11"/>
  <c r="B1" i="11"/>
  <c r="B3" i="10"/>
  <c r="B2" i="10"/>
  <c r="B1" i="10"/>
  <c r="B3" i="9"/>
  <c r="B2" i="9"/>
  <c r="B1" i="9"/>
  <c r="B3" i="8"/>
  <c r="B2" i="8"/>
  <c r="B1" i="8"/>
  <c r="B3" i="7"/>
  <c r="B2" i="7"/>
  <c r="B1" i="7"/>
  <c r="B3" i="6"/>
  <c r="B2" i="6"/>
  <c r="B1" i="6"/>
  <c r="B3" i="5"/>
  <c r="B2" i="5"/>
  <c r="B1" i="5"/>
  <c r="B3" i="2"/>
  <c r="B2" i="2"/>
  <c r="B1" i="2"/>
  <c r="B11" i="3"/>
  <c r="B12" i="3"/>
  <c r="B13" i="3"/>
  <c r="B14" i="3"/>
  <c r="B15" i="3"/>
  <c r="B16" i="3"/>
  <c r="B17" i="3"/>
  <c r="B18" i="3"/>
  <c r="B19" i="3"/>
  <c r="B10" i="3"/>
  <c r="B9" i="3"/>
  <c r="B3" i="3"/>
  <c r="B2" i="3"/>
  <c r="B1" i="3"/>
  <c r="E41" i="2"/>
  <c r="E41" i="1"/>
  <c r="B3" i="1"/>
  <c r="B2" i="1"/>
  <c r="B1" i="1"/>
  <c r="B20" i="4"/>
  <c r="C18" i="3" l="1"/>
  <c r="E42" i="13"/>
  <c r="C16" i="3"/>
  <c r="E42" i="11"/>
  <c r="E40" i="12"/>
  <c r="E38" i="7"/>
  <c r="E37" i="11"/>
  <c r="E38" i="9"/>
  <c r="E38" i="14"/>
  <c r="E40" i="8"/>
  <c r="C13" i="3" s="1"/>
  <c r="D13" i="3" s="1"/>
  <c r="D18" i="3"/>
  <c r="D14" i="3"/>
  <c r="D15" i="3"/>
  <c r="D16" i="3"/>
  <c r="D19" i="3"/>
  <c r="D11" i="3"/>
  <c r="E8" i="3"/>
  <c r="D12" i="3"/>
  <c r="E19" i="3"/>
  <c r="E15" i="3"/>
  <c r="E18" i="3"/>
  <c r="E9" i="3"/>
  <c r="E17" i="3"/>
  <c r="E13" i="3"/>
  <c r="E11" i="3"/>
  <c r="E14" i="3"/>
  <c r="E10" i="3"/>
  <c r="E16" i="3"/>
  <c r="E12" i="3"/>
  <c r="E40" i="2"/>
  <c r="E36" i="2"/>
  <c r="E38" i="1"/>
  <c r="E38" i="5"/>
  <c r="E40" i="5"/>
  <c r="C10" i="3" s="1"/>
  <c r="D10" i="3" s="1"/>
  <c r="B20" i="3"/>
  <c r="E42" i="14"/>
  <c r="E42" i="10"/>
  <c r="E42" i="9"/>
  <c r="E42" i="8"/>
  <c r="E42" i="7"/>
  <c r="E42" i="6"/>
  <c r="E40" i="1"/>
  <c r="C8" i="3" s="1"/>
  <c r="E42" i="12" l="1"/>
  <c r="C17" i="3"/>
  <c r="D17" i="3" s="1"/>
  <c r="E42" i="2"/>
  <c r="C9" i="3"/>
  <c r="D9" i="3" s="1"/>
  <c r="D8" i="3"/>
  <c r="C24" i="3"/>
  <c r="E20" i="3"/>
  <c r="B21" i="3" s="1"/>
  <c r="B24" i="3" s="1"/>
  <c r="E42" i="5"/>
  <c r="E42" i="1"/>
  <c r="B25" i="3" l="1"/>
  <c r="B26" i="3" s="1"/>
  <c r="D24" i="3"/>
  <c r="C25" i="3"/>
  <c r="C26" i="3" s="1"/>
  <c r="D25" i="3" l="1"/>
  <c r="D26" i="3" s="1"/>
</calcChain>
</file>

<file path=xl/sharedStrings.xml><?xml version="1.0" encoding="utf-8"?>
<sst xmlns="http://schemas.openxmlformats.org/spreadsheetml/2006/main" count="362" uniqueCount="104">
  <si>
    <t>Datum</t>
  </si>
  <si>
    <t>Pause</t>
  </si>
  <si>
    <t>Name:</t>
  </si>
  <si>
    <t>Differenz</t>
  </si>
  <si>
    <t>Geleistete
Arbeitszeit</t>
  </si>
  <si>
    <t>Organisationseinheit:</t>
  </si>
  <si>
    <t>Arbeitsgruppe:</t>
  </si>
  <si>
    <t>Januar:</t>
  </si>
  <si>
    <t>Februar:</t>
  </si>
  <si>
    <t>März:</t>
  </si>
  <si>
    <t>April:</t>
  </si>
  <si>
    <t>Mai:</t>
  </si>
  <si>
    <t>Juni:</t>
  </si>
  <si>
    <t>Juli:</t>
  </si>
  <si>
    <t>August:</t>
  </si>
  <si>
    <t>September:</t>
  </si>
  <si>
    <t>Oktober:</t>
  </si>
  <si>
    <t>November:</t>
  </si>
  <si>
    <t>Dezember:</t>
  </si>
  <si>
    <t>Gesamtstundenzahl:</t>
  </si>
  <si>
    <t>Vertraglich vereinbarte Stundenzahlen</t>
  </si>
  <si>
    <t>Testperson</t>
  </si>
  <si>
    <t>FB Test</t>
  </si>
  <si>
    <t>Prof. Test</t>
  </si>
  <si>
    <t>Stunden pro Monat</t>
  </si>
  <si>
    <t>Geleistete Arbeitszeit:</t>
  </si>
  <si>
    <t>Vertraglich vereinbarte Arbeitszeit:</t>
  </si>
  <si>
    <t>Monat</t>
  </si>
  <si>
    <t>Vertraglich
vereinbarte
Arbeitszeit</t>
  </si>
  <si>
    <t>Bemerkung</t>
  </si>
  <si>
    <t>Studentische Hilfskraft</t>
  </si>
  <si>
    <t>Wissenschaftliche Hilfskraft</t>
  </si>
  <si>
    <t>Beschäftigung als:</t>
  </si>
  <si>
    <t>- Es ist die tatsächlich geleistete Arbeitszeit einzutragen.</t>
  </si>
  <si>
    <t>Bemerkungen</t>
  </si>
  <si>
    <t>Jahr:</t>
  </si>
  <si>
    <t>Januar</t>
  </si>
  <si>
    <t>Februar</t>
  </si>
  <si>
    <t>März</t>
  </si>
  <si>
    <t>April</t>
  </si>
  <si>
    <t>Mai</t>
  </si>
  <si>
    <t>Juni</t>
  </si>
  <si>
    <t>Juli</t>
  </si>
  <si>
    <t>September</t>
  </si>
  <si>
    <t>Oktober</t>
  </si>
  <si>
    <t>November</t>
  </si>
  <si>
    <t>Dezember</t>
  </si>
  <si>
    <t>Berechnungsdaten</t>
  </si>
  <si>
    <t>Februar (Schaltjahr)</t>
  </si>
  <si>
    <t>Tag</t>
  </si>
  <si>
    <t>Hinweise zu den Monatsansichten</t>
  </si>
  <si>
    <t>Hinweise:</t>
  </si>
  <si>
    <t>Beschäftigungsbeginn nach einem Monatsersten (Beginndatum nach Arbeitsvertrag)</t>
  </si>
  <si>
    <t>Beschäftigungsende vor einem Monatsletzten (Endedatum nach Arbeitsvertrag)</t>
  </si>
  <si>
    <t xml:space="preserve"> Monatsarbeitsstunden</t>
  </si>
  <si>
    <t>Vertraglich vereinbarte</t>
  </si>
  <si>
    <t>Anteilig zu erbringende</t>
  </si>
  <si>
    <t>Anzahl der</t>
  </si>
  <si>
    <t>Monatstage</t>
  </si>
  <si>
    <t>Arbeitstage</t>
  </si>
  <si>
    <t>Monatsarbeitsstunden</t>
  </si>
  <si>
    <t>Urlaubs-anspruch*)</t>
  </si>
  <si>
    <t>Minuten:</t>
  </si>
  <si>
    <t>entspricht Stunden:</t>
  </si>
  <si>
    <t>Berechnungshilfe für anteilige Beschäftigungsmonate:</t>
  </si>
  <si>
    <t>Uhrzeit von</t>
  </si>
  <si>
    <t>Uhrzeit bis</t>
  </si>
  <si>
    <t>- Bitte Beginn und Ende sowie Pausenzeit im Format SS:MM eingeben.</t>
  </si>
  <si>
    <t>Unterschrift:</t>
  </si>
  <si>
    <t>August</t>
  </si>
  <si>
    <t>Abzug Urlaubsanspruch:</t>
  </si>
  <si>
    <t>vertragliche Stunden:</t>
  </si>
  <si>
    <t>zu leistende Stunden (dezimal):</t>
  </si>
  <si>
    <t>Differenz *):</t>
  </si>
  <si>
    <t>*) Bitte beachten Sie die fettgedruckte Anmerkung in der Gesamtübersicht.</t>
  </si>
  <si>
    <t>Im Arbeitsvertrag ist die durchschnittliche monatliche Arbeitszeit vereinbart.</t>
  </si>
  <si>
    <t xml:space="preserve">Die Stunden können über die gesamte Vertragslaufzeit geleistet werden. </t>
  </si>
  <si>
    <t>Über die insgesamt zu leistenden Stunden hinaus darf nur auf Anordnung  der</t>
  </si>
  <si>
    <t xml:space="preserve">vorgesetzten Person gearbeitet werden. Der Arbeitsvertrag ist entsprechend </t>
  </si>
  <si>
    <t>anzupassen.</t>
  </si>
  <si>
    <t>*) Berechnung nach Anlage 3 des Leitfadens für das Beschäftigungsverhältnis als</t>
  </si>
  <si>
    <t>Beschäftigungsverhältnis ermittelt und einmal auf eine volle Stunde gerundet.</t>
  </si>
  <si>
    <t>wissenschaftliche oder studentische Hilfskraft. Der Anspruch wird für das gesamte</t>
  </si>
  <si>
    <t xml:space="preserve">- Wenn der Arbeitstag regelmäßig und im vorhinein festgelegt worden ist und die geringfügig </t>
  </si>
  <si>
    <t xml:space="preserve">   beschäftigte Person an dem betreffenden Tag erkrankt war bzw. dies ein Feiertag ist, so ist die </t>
  </si>
  <si>
    <t xml:space="preserve">   festgelegte Arbeitszeit einzutragen (Lohnfortzahlung an Krankheits- und Feiertagen).</t>
  </si>
  <si>
    <t>Tages-</t>
  </si>
  <si>
    <t>arbeitszeit</t>
  </si>
  <si>
    <t>- Bitte beachten Sie die Ruhepausen:</t>
  </si>
  <si>
    <t xml:space="preserve">   Bei 6 bis 9 Stunden Arbeitszeit pro Tag   =&gt;  30 Min. oder 2 x 15 Min. Pause</t>
  </si>
  <si>
    <t xml:space="preserve">   Bei 9 bis 10 Stunden Arbeitszeit pro Tag   =&gt;  45 Min. oder 3 x 15 Min. Pause</t>
  </si>
  <si>
    <t xml:space="preserve">- Die Arbeitszeit ist nach dem Mindestlohngesetz spätestens bis zum Ablauf des siebten auf den </t>
  </si>
  <si>
    <t>- Die Arbeitszeitnachweise bitte monatlich ausdrucken, für die Dauer des Beschäftigungs-</t>
  </si>
  <si>
    <t xml:space="preserve">  verhältnisses aufbewahren und nach Ende der Beschäftigung an die Stelle abgeben, die den </t>
  </si>
  <si>
    <t xml:space="preserve">  Arbeitsvertrag abgeschlossen hat.</t>
  </si>
  <si>
    <t xml:space="preserve">   Tag der Arbeitsleistung folgenden Kalendertages aufzuzeichnen.</t>
  </si>
  <si>
    <t xml:space="preserve">Übertragene  </t>
  </si>
  <si>
    <t>Mehrstunden</t>
  </si>
  <si>
    <t>Minderstunden</t>
  </si>
  <si>
    <t>(werden gutgeschrieben)</t>
  </si>
  <si>
    <t>(müssen nachgearbeitet werden)</t>
  </si>
  <si>
    <t>Abzug Mehrstunden:</t>
  </si>
  <si>
    <t>Hinweis: Die Kalender-Monate aktualisieren sich anhand der eingegebenen Jahreszahl.</t>
  </si>
  <si>
    <t>zzgl. Minderstunden: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</si>
</sst>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dd\,\ dd/mm/yyyy"/>
    <numFmt numFmtId="165" formatCode="General\ &quot;Stunden pro Monat&quot;"/>
    <numFmt numFmtId="166" formatCode="[h]:mm"/>
    <numFmt numFmtId="167" formatCode="General\ &quot;Stunden&quot;"/>
    <numFmt numFmtId="168" formatCode="0.00_ ;[Red]\-0.00\ "/>
    <numFmt numFmtId="169" formatCode="0_ ;[Red]\-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6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0" xfId="0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quotePrefix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indent="1"/>
    </xf>
    <xf numFmtId="164" fontId="0" fillId="2" borderId="0" xfId="0" applyNumberFormat="1" applyFill="1"/>
    <xf numFmtId="20" fontId="0" fillId="2" borderId="0" xfId="0" applyNumberFormat="1" applyFill="1" applyAlignment="1">
      <alignment horizontal="center"/>
    </xf>
    <xf numFmtId="0" fontId="0" fillId="2" borderId="0" xfId="0" applyFill="1" applyProtection="1">
      <protection locked="0"/>
    </xf>
    <xf numFmtId="164" fontId="0" fillId="2" borderId="1" xfId="0" applyNumberFormat="1" applyFill="1" applyBorder="1"/>
    <xf numFmtId="20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/>
    <xf numFmtId="20" fontId="0" fillId="2" borderId="0" xfId="0" applyNumberFormat="1" applyFill="1" applyBorder="1" applyAlignment="1" applyProtection="1">
      <alignment horizontal="center"/>
      <protection locked="0"/>
    </xf>
    <xf numFmtId="166" fontId="0" fillId="2" borderId="0" xfId="0" applyNumberFormat="1" applyFill="1" applyBorder="1" applyAlignment="1">
      <alignment horizontal="center"/>
    </xf>
    <xf numFmtId="0" fontId="0" fillId="2" borderId="0" xfId="0" applyFill="1" applyAlignment="1">
      <alignment horizontal="right" indent="1"/>
    </xf>
    <xf numFmtId="2" fontId="0" fillId="2" borderId="2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0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0" xfId="0" quotePrefix="1" applyFill="1" applyAlignment="1">
      <alignment vertical="center"/>
    </xf>
    <xf numFmtId="20" fontId="0" fillId="2" borderId="0" xfId="0" applyNumberFormat="1" applyFill="1" applyBorder="1" applyAlignment="1">
      <alignment horizontal="center"/>
    </xf>
    <xf numFmtId="167" fontId="1" fillId="2" borderId="4" xfId="0" applyNumberFormat="1" applyFont="1" applyFill="1" applyBorder="1" applyAlignment="1">
      <alignment horizontal="left" indent="1"/>
    </xf>
    <xf numFmtId="0" fontId="1" fillId="2" borderId="0" xfId="0" applyFont="1" applyFill="1" applyBorder="1"/>
    <xf numFmtId="2" fontId="0" fillId="2" borderId="5" xfId="0" applyNumberFormat="1" applyFill="1" applyBorder="1" applyAlignment="1">
      <alignment horizontal="center"/>
    </xf>
    <xf numFmtId="15" fontId="0" fillId="2" borderId="0" xfId="0" quotePrefix="1" applyNumberFormat="1" applyFill="1"/>
    <xf numFmtId="0" fontId="7" fillId="2" borderId="0" xfId="0" applyFont="1" applyFill="1"/>
    <xf numFmtId="165" fontId="4" fillId="3" borderId="0" xfId="0" applyNumberFormat="1" applyFont="1" applyFill="1" applyAlignment="1" applyProtection="1">
      <alignment horizontal="left" indent="1"/>
      <protection locked="0"/>
    </xf>
    <xf numFmtId="20" fontId="0" fillId="3" borderId="0" xfId="0" applyNumberFormat="1" applyFill="1" applyAlignment="1" applyProtection="1">
      <alignment horizontal="center"/>
      <protection locked="0"/>
    </xf>
    <xf numFmtId="20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20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1" xfId="0" applyFill="1" applyBorder="1"/>
    <xf numFmtId="0" fontId="0" fillId="2" borderId="0" xfId="0" quotePrefix="1" applyFill="1" applyAlignment="1"/>
    <xf numFmtId="0" fontId="5" fillId="2" borderId="0" xfId="0" applyFont="1" applyFill="1" applyBorder="1" applyAlignment="1">
      <alignment horizontal="left" indent="1"/>
    </xf>
    <xf numFmtId="0" fontId="1" fillId="2" borderId="0" xfId="0" applyFont="1" applyFill="1" applyAlignment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15" fontId="0" fillId="2" borderId="0" xfId="0" applyNumberFormat="1" applyFill="1" applyBorder="1"/>
    <xf numFmtId="0" fontId="1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/>
    </xf>
    <xf numFmtId="0" fontId="0" fillId="2" borderId="1" xfId="0" applyFill="1" applyBorder="1" applyAlignment="1">
      <alignment horizontal="right" indent="1"/>
    </xf>
    <xf numFmtId="0" fontId="0" fillId="2" borderId="1" xfId="0" applyFill="1" applyBorder="1" applyAlignment="1">
      <alignment horizontal="center" wrapText="1"/>
    </xf>
    <xf numFmtId="168" fontId="0" fillId="2" borderId="0" xfId="0" applyNumberFormat="1" applyFill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168" fontId="0" fillId="2" borderId="4" xfId="0" applyNumberFormat="1" applyFill="1" applyBorder="1" applyAlignment="1">
      <alignment horizontal="center"/>
    </xf>
    <xf numFmtId="169" fontId="0" fillId="2" borderId="4" xfId="0" applyNumberFormat="1" applyFill="1" applyBorder="1" applyAlignment="1">
      <alignment horizontal="center"/>
    </xf>
    <xf numFmtId="168" fontId="0" fillId="2" borderId="0" xfId="0" applyNumberFormat="1" applyFill="1"/>
    <xf numFmtId="169" fontId="0" fillId="2" borderId="0" xfId="0" applyNumberFormat="1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1" fontId="0" fillId="2" borderId="0" xfId="0" applyNumberFormat="1" applyFill="1" applyBorder="1" applyAlignment="1">
      <alignment horizontal="center"/>
    </xf>
    <xf numFmtId="18" fontId="0" fillId="2" borderId="0" xfId="0" applyNumberFormat="1" applyFill="1"/>
    <xf numFmtId="0" fontId="0" fillId="3" borderId="0" xfId="0" applyFill="1" applyAlignment="1" applyProtection="1">
      <alignment horizontal="center"/>
      <protection locked="0"/>
    </xf>
    <xf numFmtId="167" fontId="1" fillId="2" borderId="0" xfId="0" applyNumberFormat="1" applyFont="1" applyFill="1" applyBorder="1" applyAlignment="1">
      <alignment horizontal="left" indent="1"/>
    </xf>
    <xf numFmtId="168" fontId="0" fillId="3" borderId="7" xfId="0" applyNumberFormat="1" applyFill="1" applyBorder="1" applyAlignment="1">
      <alignment horizontal="center"/>
    </xf>
    <xf numFmtId="168" fontId="0" fillId="3" borderId="2" xfId="0" applyNumberForma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</cellXfs>
  <cellStyles count="1">
    <cellStyle name="Standard" xfId="0" builtinId="0"/>
  </cellStyles>
  <dxfs count="73"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39"/>
  <sheetViews>
    <sheetView tabSelected="1" workbookViewId="0">
      <selection activeCell="H12" sqref="H12"/>
    </sheetView>
  </sheetViews>
  <sheetFormatPr baseColWidth="10" defaultColWidth="11.42578125" defaultRowHeight="15" x14ac:dyDescent="0.25"/>
  <cols>
    <col min="1" max="1" width="20.140625" style="1" customWidth="1"/>
    <col min="2" max="2" width="32.7109375" style="1" customWidth="1"/>
    <col min="3" max="3" width="1.85546875" style="1" customWidth="1"/>
    <col min="4" max="4" width="11.140625" style="1" customWidth="1"/>
    <col min="5" max="5" width="21.28515625" style="1" customWidth="1"/>
    <col min="6" max="6" width="1.7109375" style="1" customWidth="1"/>
    <col min="7" max="10" width="12.140625" style="1" customWidth="1"/>
    <col min="11" max="11" width="21.85546875" style="1" bestFit="1" customWidth="1"/>
    <col min="12" max="12" width="22.140625" style="1" bestFit="1" customWidth="1"/>
    <col min="13" max="16384" width="11.42578125" style="1"/>
  </cols>
  <sheetData>
    <row r="1" spans="1:17" x14ac:dyDescent="0.25">
      <c r="A1" s="12" t="s">
        <v>2</v>
      </c>
      <c r="B1" s="86" t="s">
        <v>21</v>
      </c>
      <c r="C1" s="86"/>
      <c r="D1" s="86"/>
    </row>
    <row r="2" spans="1:17" ht="30" customHeight="1" x14ac:dyDescent="0.25">
      <c r="A2" s="14" t="s">
        <v>5</v>
      </c>
      <c r="B2" s="87" t="s">
        <v>22</v>
      </c>
      <c r="C2" s="87"/>
      <c r="D2" s="87"/>
    </row>
    <row r="3" spans="1:17" x14ac:dyDescent="0.25">
      <c r="A3" s="14" t="s">
        <v>6</v>
      </c>
      <c r="B3" s="88" t="s">
        <v>23</v>
      </c>
      <c r="C3" s="88"/>
      <c r="D3" s="88"/>
      <c r="H3" s="34" t="s">
        <v>30</v>
      </c>
    </row>
    <row r="4" spans="1:17" x14ac:dyDescent="0.25">
      <c r="A4" s="14" t="s">
        <v>32</v>
      </c>
      <c r="B4" s="88" t="s">
        <v>30</v>
      </c>
      <c r="C4" s="88"/>
      <c r="D4" s="88"/>
      <c r="H4" s="4" t="s">
        <v>31</v>
      </c>
    </row>
    <row r="5" spans="1:17" x14ac:dyDescent="0.25">
      <c r="A5" s="14" t="s">
        <v>35</v>
      </c>
      <c r="B5" s="88">
        <v>2017</v>
      </c>
      <c r="C5" s="88"/>
      <c r="D5" s="88"/>
      <c r="G5" s="1" t="s">
        <v>102</v>
      </c>
    </row>
    <row r="6" spans="1:17" x14ac:dyDescent="0.25">
      <c r="A6" s="13"/>
      <c r="B6" s="13"/>
      <c r="N6" s="42"/>
      <c r="O6" s="4"/>
      <c r="P6" s="4"/>
      <c r="Q6" s="42"/>
    </row>
    <row r="7" spans="1:17" x14ac:dyDescent="0.25">
      <c r="A7" s="32" t="s">
        <v>20</v>
      </c>
      <c r="B7" s="8"/>
      <c r="C7" s="13"/>
      <c r="D7" s="85" t="s">
        <v>34</v>
      </c>
      <c r="E7" s="85"/>
      <c r="G7" s="32" t="s">
        <v>64</v>
      </c>
      <c r="H7" s="32"/>
      <c r="I7" s="32"/>
      <c r="J7" s="32"/>
      <c r="N7" s="42"/>
      <c r="O7" s="2" t="s">
        <v>47</v>
      </c>
      <c r="P7" s="3"/>
      <c r="Q7" s="42"/>
    </row>
    <row r="8" spans="1:17" x14ac:dyDescent="0.25">
      <c r="A8" s="15" t="s">
        <v>7</v>
      </c>
      <c r="B8" s="43">
        <v>0</v>
      </c>
      <c r="C8" s="13"/>
      <c r="D8" s="83"/>
      <c r="E8" s="83"/>
      <c r="G8" s="23"/>
      <c r="H8" s="23"/>
      <c r="I8" s="23"/>
      <c r="J8" s="23"/>
      <c r="N8" s="42"/>
      <c r="O8" s="4" t="s">
        <v>36</v>
      </c>
      <c r="P8" s="5">
        <v>31</v>
      </c>
      <c r="Q8" s="42"/>
    </row>
    <row r="9" spans="1:17" x14ac:dyDescent="0.25">
      <c r="A9" s="15" t="s">
        <v>8</v>
      </c>
      <c r="B9" s="43">
        <v>0</v>
      </c>
      <c r="C9" s="13"/>
      <c r="D9" s="84"/>
      <c r="E9" s="84"/>
      <c r="G9" s="6" t="s">
        <v>52</v>
      </c>
      <c r="N9" s="42"/>
      <c r="O9" s="4" t="s">
        <v>37</v>
      </c>
      <c r="P9" s="5">
        <v>28</v>
      </c>
      <c r="Q9" s="42"/>
    </row>
    <row r="10" spans="1:17" x14ac:dyDescent="0.25">
      <c r="A10" s="15" t="s">
        <v>9</v>
      </c>
      <c r="B10" s="43">
        <v>0</v>
      </c>
      <c r="C10" s="13"/>
      <c r="D10" s="84"/>
      <c r="E10" s="84"/>
      <c r="I10" s="1" t="s">
        <v>57</v>
      </c>
      <c r="J10" s="1" t="s">
        <v>57</v>
      </c>
      <c r="K10" s="1" t="s">
        <v>55</v>
      </c>
      <c r="L10" s="1" t="s">
        <v>56</v>
      </c>
      <c r="N10" s="42"/>
      <c r="O10" s="4" t="s">
        <v>48</v>
      </c>
      <c r="P10" s="5">
        <v>29</v>
      </c>
      <c r="Q10" s="42"/>
    </row>
    <row r="11" spans="1:17" ht="15" customHeight="1" x14ac:dyDescent="0.25">
      <c r="A11" s="15" t="s">
        <v>10</v>
      </c>
      <c r="B11" s="43">
        <v>0</v>
      </c>
      <c r="C11" s="13"/>
      <c r="D11" s="84"/>
      <c r="E11" s="84"/>
      <c r="G11" s="7" t="s">
        <v>49</v>
      </c>
      <c r="H11" s="8" t="s">
        <v>27</v>
      </c>
      <c r="I11" s="9" t="s">
        <v>58</v>
      </c>
      <c r="J11" s="9" t="s">
        <v>59</v>
      </c>
      <c r="K11" s="9" t="s">
        <v>54</v>
      </c>
      <c r="L11" s="9" t="s">
        <v>60</v>
      </c>
      <c r="N11" s="42"/>
      <c r="O11" s="4" t="s">
        <v>38</v>
      </c>
      <c r="P11" s="5">
        <v>31</v>
      </c>
      <c r="Q11" s="42"/>
    </row>
    <row r="12" spans="1:17" ht="15.75" thickBot="1" x14ac:dyDescent="0.3">
      <c r="A12" s="15" t="s">
        <v>11</v>
      </c>
      <c r="B12" s="43">
        <v>0</v>
      </c>
      <c r="C12" s="13"/>
      <c r="D12" s="84"/>
      <c r="E12" s="84"/>
      <c r="G12" s="74">
        <v>23</v>
      </c>
      <c r="H12" s="46" t="s">
        <v>36</v>
      </c>
      <c r="I12" s="10">
        <f>VLOOKUP(H12,O7:P20,2,FALSE)</f>
        <v>31</v>
      </c>
      <c r="J12" s="10">
        <f>I12-G12+1</f>
        <v>9</v>
      </c>
      <c r="K12" s="74">
        <v>30</v>
      </c>
      <c r="L12" s="11">
        <f>ROUND(K12*J12/I12,2)</f>
        <v>8.7100000000000009</v>
      </c>
      <c r="N12" s="42"/>
      <c r="O12" s="4" t="s">
        <v>39</v>
      </c>
      <c r="P12" s="5">
        <v>30</v>
      </c>
      <c r="Q12" s="42"/>
    </row>
    <row r="13" spans="1:17" ht="15.75" thickTop="1" x14ac:dyDescent="0.25">
      <c r="A13" s="15" t="s">
        <v>12</v>
      </c>
      <c r="B13" s="43">
        <v>0</v>
      </c>
      <c r="C13" s="13"/>
      <c r="D13" s="84"/>
      <c r="E13" s="84"/>
      <c r="N13" s="42"/>
      <c r="O13" s="4" t="s">
        <v>40</v>
      </c>
      <c r="P13" s="5">
        <v>31</v>
      </c>
      <c r="Q13" s="42"/>
    </row>
    <row r="14" spans="1:17" x14ac:dyDescent="0.25">
      <c r="A14" s="15" t="s">
        <v>13</v>
      </c>
      <c r="B14" s="43">
        <v>0</v>
      </c>
      <c r="C14" s="13"/>
      <c r="D14" s="84"/>
      <c r="E14" s="84"/>
      <c r="N14" s="42"/>
      <c r="O14" s="4" t="s">
        <v>41</v>
      </c>
      <c r="P14" s="5">
        <v>30</v>
      </c>
      <c r="Q14" s="42"/>
    </row>
    <row r="15" spans="1:17" x14ac:dyDescent="0.25">
      <c r="A15" s="15" t="s">
        <v>14</v>
      </c>
      <c r="B15" s="43">
        <v>0</v>
      </c>
      <c r="C15" s="13"/>
      <c r="D15" s="84"/>
      <c r="E15" s="84"/>
      <c r="G15" s="6" t="s">
        <v>53</v>
      </c>
      <c r="N15" s="42"/>
      <c r="O15" s="4" t="s">
        <v>42</v>
      </c>
      <c r="P15" s="5">
        <v>31</v>
      </c>
      <c r="Q15" s="42"/>
    </row>
    <row r="16" spans="1:17" x14ac:dyDescent="0.25">
      <c r="A16" s="15" t="s">
        <v>15</v>
      </c>
      <c r="B16" s="43">
        <v>0</v>
      </c>
      <c r="C16" s="13"/>
      <c r="D16" s="84"/>
      <c r="E16" s="84"/>
      <c r="I16" s="1" t="s">
        <v>57</v>
      </c>
      <c r="J16" s="1" t="s">
        <v>57</v>
      </c>
      <c r="K16" s="1" t="s">
        <v>55</v>
      </c>
      <c r="L16" s="1" t="s">
        <v>56</v>
      </c>
      <c r="N16" s="42"/>
      <c r="O16" s="4" t="s">
        <v>69</v>
      </c>
      <c r="P16" s="5">
        <v>31</v>
      </c>
      <c r="Q16" s="42"/>
    </row>
    <row r="17" spans="1:17" ht="15" customHeight="1" x14ac:dyDescent="0.25">
      <c r="A17" s="15" t="s">
        <v>16</v>
      </c>
      <c r="B17" s="43">
        <v>0</v>
      </c>
      <c r="C17" s="13"/>
      <c r="D17" s="84"/>
      <c r="E17" s="84"/>
      <c r="G17" s="7" t="s">
        <v>49</v>
      </c>
      <c r="H17" s="8" t="s">
        <v>27</v>
      </c>
      <c r="I17" s="9" t="s">
        <v>58</v>
      </c>
      <c r="J17" s="9" t="s">
        <v>59</v>
      </c>
      <c r="K17" s="9" t="s">
        <v>54</v>
      </c>
      <c r="L17" s="9" t="s">
        <v>60</v>
      </c>
      <c r="N17" s="42"/>
      <c r="O17" s="4" t="s">
        <v>43</v>
      </c>
      <c r="P17" s="5">
        <v>30</v>
      </c>
      <c r="Q17" s="42"/>
    </row>
    <row r="18" spans="1:17" ht="15.75" thickBot="1" x14ac:dyDescent="0.3">
      <c r="A18" s="15" t="s">
        <v>17</v>
      </c>
      <c r="B18" s="43">
        <v>0</v>
      </c>
      <c r="C18" s="13"/>
      <c r="D18" s="84"/>
      <c r="E18" s="84"/>
      <c r="G18" s="74">
        <v>14</v>
      </c>
      <c r="H18" s="46" t="s">
        <v>42</v>
      </c>
      <c r="I18" s="10">
        <f>VLOOKUP(H18,O7:P20,2,FALSE)</f>
        <v>31</v>
      </c>
      <c r="J18" s="10">
        <f>G18</f>
        <v>14</v>
      </c>
      <c r="K18" s="74">
        <v>40</v>
      </c>
      <c r="L18" s="11">
        <f>ROUND(K18*J18/I18,2)</f>
        <v>18.059999999999999</v>
      </c>
      <c r="N18" s="42"/>
      <c r="O18" s="4" t="s">
        <v>44</v>
      </c>
      <c r="P18" s="5">
        <v>31</v>
      </c>
      <c r="Q18" s="42"/>
    </row>
    <row r="19" spans="1:17" ht="15.75" thickTop="1" x14ac:dyDescent="0.25">
      <c r="A19" s="16" t="s">
        <v>18</v>
      </c>
      <c r="B19" s="43">
        <v>0</v>
      </c>
      <c r="C19" s="13"/>
      <c r="D19" s="82"/>
      <c r="E19" s="82"/>
      <c r="N19" s="42"/>
      <c r="O19" s="4" t="s">
        <v>45</v>
      </c>
      <c r="P19" s="5">
        <v>30</v>
      </c>
      <c r="Q19" s="42"/>
    </row>
    <row r="20" spans="1:17" x14ac:dyDescent="0.25">
      <c r="A20" s="12" t="s">
        <v>19</v>
      </c>
      <c r="B20" s="38">
        <f>SUM(B8:B19)</f>
        <v>0</v>
      </c>
      <c r="N20" s="42"/>
      <c r="O20" s="4" t="s">
        <v>46</v>
      </c>
      <c r="P20" s="5">
        <v>31</v>
      </c>
      <c r="Q20" s="42"/>
    </row>
    <row r="21" spans="1:17" x14ac:dyDescent="0.25">
      <c r="A21" s="12"/>
      <c r="B21" s="75"/>
      <c r="N21" s="42"/>
      <c r="O21" s="4"/>
      <c r="P21" s="5"/>
      <c r="Q21" s="42"/>
    </row>
    <row r="22" spans="1:17" x14ac:dyDescent="0.25">
      <c r="A22" s="12" t="s">
        <v>96</v>
      </c>
      <c r="B22" s="75"/>
      <c r="N22" s="42"/>
      <c r="O22" s="4"/>
      <c r="P22" s="5"/>
      <c r="Q22" s="42"/>
    </row>
    <row r="23" spans="1:17" x14ac:dyDescent="0.25">
      <c r="A23" s="12" t="s">
        <v>97</v>
      </c>
      <c r="B23" s="43">
        <v>0</v>
      </c>
      <c r="D23" s="1" t="s">
        <v>99</v>
      </c>
      <c r="N23" s="42"/>
      <c r="O23" s="4"/>
      <c r="P23" s="5"/>
      <c r="Q23" s="42"/>
    </row>
    <row r="24" spans="1:17" x14ac:dyDescent="0.25">
      <c r="A24" s="12" t="s">
        <v>98</v>
      </c>
      <c r="B24" s="43">
        <v>0</v>
      </c>
      <c r="D24" s="1" t="s">
        <v>100</v>
      </c>
      <c r="N24" s="42"/>
      <c r="O24" s="4"/>
      <c r="P24" s="5"/>
      <c r="Q24" s="42"/>
    </row>
    <row r="25" spans="1:17" x14ac:dyDescent="0.25">
      <c r="N25" s="42"/>
      <c r="O25" s="4"/>
      <c r="P25" s="4"/>
      <c r="Q25" s="42"/>
    </row>
    <row r="26" spans="1:17" x14ac:dyDescent="0.25">
      <c r="A26" s="33" t="s">
        <v>50</v>
      </c>
      <c r="B26" s="35"/>
      <c r="C26" s="35"/>
      <c r="D26" s="35"/>
      <c r="E26" s="35"/>
    </row>
    <row r="27" spans="1:17" x14ac:dyDescent="0.25">
      <c r="A27" s="36" t="s">
        <v>33</v>
      </c>
    </row>
    <row r="28" spans="1:17" ht="14.45" customHeight="1" x14ac:dyDescent="0.25">
      <c r="A28" s="41" t="s">
        <v>67</v>
      </c>
    </row>
    <row r="29" spans="1:17" x14ac:dyDescent="0.25">
      <c r="A29" s="17" t="s">
        <v>88</v>
      </c>
    </row>
    <row r="30" spans="1:17" x14ac:dyDescent="0.25">
      <c r="A30" s="1" t="s">
        <v>89</v>
      </c>
    </row>
    <row r="31" spans="1:17" x14ac:dyDescent="0.25">
      <c r="A31" s="1" t="s">
        <v>90</v>
      </c>
    </row>
    <row r="32" spans="1:17" x14ac:dyDescent="0.25">
      <c r="A32" s="17" t="s">
        <v>83</v>
      </c>
    </row>
    <row r="33" spans="1:1" x14ac:dyDescent="0.25">
      <c r="A33" s="1" t="s">
        <v>84</v>
      </c>
    </row>
    <row r="34" spans="1:1" x14ac:dyDescent="0.25">
      <c r="A34" s="1" t="s">
        <v>85</v>
      </c>
    </row>
    <row r="35" spans="1:1" x14ac:dyDescent="0.25">
      <c r="A35" s="51" t="s">
        <v>91</v>
      </c>
    </row>
    <row r="36" spans="1:1" x14ac:dyDescent="0.25">
      <c r="A36" s="1" t="s">
        <v>95</v>
      </c>
    </row>
    <row r="37" spans="1:1" x14ac:dyDescent="0.25">
      <c r="A37" s="17" t="s">
        <v>92</v>
      </c>
    </row>
    <row r="38" spans="1:1" x14ac:dyDescent="0.25">
      <c r="A38" s="1" t="s">
        <v>93</v>
      </c>
    </row>
    <row r="39" spans="1:1" x14ac:dyDescent="0.25">
      <c r="A39" s="1" t="s">
        <v>94</v>
      </c>
    </row>
  </sheetData>
  <sheetProtection password="C54A" sheet="1" objects="1" scenarios="1" formatColumns="0"/>
  <mergeCells count="18">
    <mergeCell ref="D7:E7"/>
    <mergeCell ref="B1:D1"/>
    <mergeCell ref="B2:D2"/>
    <mergeCell ref="B3:D3"/>
    <mergeCell ref="B4:D4"/>
    <mergeCell ref="B5:D5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</mergeCells>
  <conditionalFormatting sqref="G12">
    <cfRule type="cellIs" dxfId="72" priority="2" operator="greaterThan">
      <formula>#REF!</formula>
    </cfRule>
  </conditionalFormatting>
  <conditionalFormatting sqref="G18">
    <cfRule type="cellIs" dxfId="71" priority="1" operator="greaterThan">
      <formula>#REF!</formula>
    </cfRule>
  </conditionalFormatting>
  <dataValidations count="5">
    <dataValidation type="decimal" allowBlank="1" showInputMessage="1" showErrorMessage="1" errorTitle="Falsche Eingabe" error="Es können nur die Zahlen 0 bis 82 eingegeben werden." promptTitle="Stunden pro Monat" prompt="Es können 0 bis 82 Stunden pro Monat eingegeben werden." sqref="B8:B19">
      <formula1>0</formula1>
      <formula2>82</formula2>
    </dataValidation>
    <dataValidation type="whole" allowBlank="1" showInputMessage="1" showErrorMessage="1" promptTitle="Eingabe des ersten Arbeitstages" prompt="1 bis max. 31" sqref="G12">
      <formula1>1</formula1>
      <formula2>31</formula2>
    </dataValidation>
    <dataValidation type="whole" allowBlank="1" showInputMessage="1" showErrorMessage="1" promptTitle="Eingabe des letzten Arbeitstages" prompt="1 bis max. 31" sqref="G18">
      <formula1>1</formula1>
      <formula2>31</formula2>
    </dataValidation>
    <dataValidation type="list" allowBlank="1" showInputMessage="1" showErrorMessage="1" sqref="H18 H12">
      <formula1>$O$8:$O$20</formula1>
    </dataValidation>
    <dataValidation type="list" allowBlank="1" showInputMessage="1" showErrorMessage="1" promptTitle="Beschäftigung als" prompt="SHK_x000a_WHK" sqref="B4">
      <formula1>$H$3:$H$4</formula1>
    </dataValidation>
  </dataValidations>
  <pageMargins left="0.70866141732283472" right="0.70866141732283472" top="1.2204724409448819" bottom="0.78740157480314965" header="0.6692913385826772" footer="0.31496062992125984"/>
  <pageSetup paperSize="9" orientation="portrait" r:id="rId1"/>
  <headerFooter>
    <oddHeader>&amp;LÜbersicht der vertraglich vereinbarten Stunden für geringfügig Beschäftigte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6" tint="0.39997558519241921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DATE(Dateneingabe!$B$5,8,1)</f>
        <v>42948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DATE(Dateneingabe!$B$5,8,2)</f>
        <v>42949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DATE(Dateneingabe!$B$5,8,3)</f>
        <v>42950</v>
      </c>
      <c r="B9" s="44">
        <v>0</v>
      </c>
      <c r="C9" s="44">
        <v>0</v>
      </c>
      <c r="D9" s="44">
        <v>0</v>
      </c>
      <c r="E9" s="22">
        <f t="shared" ref="E9:E37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DATE(Dateneingabe!$B$5,8,4)</f>
        <v>42951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DATE(Dateneingabe!$B$5,8,5)</f>
        <v>42952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DATE(Dateneingabe!$B$5,8,6)</f>
        <v>42953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DATE(Dateneingabe!$B$5,8,7)</f>
        <v>42954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DATE(Dateneingabe!$B$5,8,8)</f>
        <v>42955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DATE(Dateneingabe!$B$5,8,9)</f>
        <v>42956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DATE(Dateneingabe!$B$5,8,10)</f>
        <v>42957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DATE(Dateneingabe!$B$5,8,11)</f>
        <v>42958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DATE(Dateneingabe!$B$5,8,12)</f>
        <v>42959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DATE(Dateneingabe!$B$5,8,13)</f>
        <v>42960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DATE(Dateneingabe!$B$5,8,14)</f>
        <v>42961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DATE(Dateneingabe!$B$5,8,15)</f>
        <v>42962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DATE(Dateneingabe!$B$5,8,16)</f>
        <v>42963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DATE(Dateneingabe!$B$5,8,17)</f>
        <v>42964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DATE(Dateneingabe!$B$5,8,18)</f>
        <v>42965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DATE(Dateneingabe!$B$5,8,19)</f>
        <v>42966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DATE(Dateneingabe!$B$5,8,20)</f>
        <v>42967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DATE(Dateneingabe!$B$5,8,21)</f>
        <v>42968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DATE(Dateneingabe!$B$5,8,22)</f>
        <v>42969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DATE(Dateneingabe!$B$5,8,23)</f>
        <v>42970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DATE(Dateneingabe!$B$5,8,24)</f>
        <v>42971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DATE(Dateneingabe!$B$5,8,25)</f>
        <v>42972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DATE(Dateneingabe!$B$5,8,26)</f>
        <v>42973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DATE(Dateneingabe!$B$5,8,27)</f>
        <v>42974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DATE(Dateneingabe!$B$5,8,28)</f>
        <v>42975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DATE(Dateneingabe!$B$5,8,29)</f>
        <v>42976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1">
        <f>DATE(Dateneingabe!$B$5,8,30)</f>
        <v>42977</v>
      </c>
      <c r="B36" s="44">
        <v>0</v>
      </c>
      <c r="C36" s="44">
        <v>0</v>
      </c>
      <c r="D36" s="44">
        <v>0</v>
      </c>
      <c r="E36" s="22">
        <f t="shared" si="0"/>
        <v>0</v>
      </c>
      <c r="F36" s="46"/>
      <c r="G36" s="54"/>
    </row>
    <row r="37" spans="1:8" ht="15" customHeight="1" x14ac:dyDescent="0.25">
      <c r="A37" s="24">
        <f>DATE(Dateneingabe!$B$5,8,31)</f>
        <v>42978</v>
      </c>
      <c r="B37" s="45">
        <v>0</v>
      </c>
      <c r="C37" s="45">
        <v>0</v>
      </c>
      <c r="D37" s="45">
        <v>0</v>
      </c>
      <c r="E37" s="25">
        <f t="shared" si="0"/>
        <v>0</v>
      </c>
      <c r="F37" s="47"/>
      <c r="G37" s="55"/>
    </row>
    <row r="38" spans="1:8" ht="15" customHeight="1" x14ac:dyDescent="0.25">
      <c r="A38" s="26"/>
      <c r="B38" s="27"/>
      <c r="C38" s="27"/>
      <c r="D38" s="27"/>
      <c r="E38" s="28">
        <f>SUM(E7:E37)</f>
        <v>0</v>
      </c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SUM(E7:E37)*24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Dateneingabe!B15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8">
    <cfRule type="timePeriod" dxfId="27" priority="5" timePeriod="today">
      <formula>FLOOR(A38,1)=TODAY()</formula>
    </cfRule>
    <cfRule type="expression" dxfId="26" priority="6">
      <formula>OR(WEEKDAY(A38,1)=7,WEEKDAY(A38,1)=1)</formula>
    </cfRule>
  </conditionalFormatting>
  <conditionalFormatting sqref="B7:E37 B38:D38">
    <cfRule type="cellIs" dxfId="25" priority="4" operator="equal">
      <formula>0</formula>
    </cfRule>
  </conditionalFormatting>
  <conditionalFormatting sqref="E38">
    <cfRule type="cellIs" dxfId="24" priority="3" operator="equal">
      <formula>0</formula>
    </cfRule>
  </conditionalFormatting>
  <conditionalFormatting sqref="A7:A37">
    <cfRule type="timePeriod" dxfId="23" priority="1" timePeriod="today">
      <formula>FLOOR(A7,1)=TODAY()</formula>
    </cfRule>
    <cfRule type="expression" dxfId="22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6" tint="0.39997558519241921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DATE(Dateneingabe!$B$5,9,1)</f>
        <v>42979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DATE(Dateneingabe!$B$5,9,2)</f>
        <v>42980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DATE(Dateneingabe!$B$5,9,3)</f>
        <v>42981</v>
      </c>
      <c r="B9" s="44">
        <v>0</v>
      </c>
      <c r="C9" s="44">
        <v>0</v>
      </c>
      <c r="D9" s="44">
        <v>0</v>
      </c>
      <c r="E9" s="22">
        <f t="shared" ref="E9:E36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DATE(Dateneingabe!$B$5,9,4)</f>
        <v>42982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DATE(Dateneingabe!$B$5,9,5)</f>
        <v>42983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DATE(Dateneingabe!$B$5,9,6)</f>
        <v>42984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DATE(Dateneingabe!$B$5,9,7)</f>
        <v>42985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DATE(Dateneingabe!$B$5,9,8)</f>
        <v>42986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DATE(Dateneingabe!$B$5,9,9)</f>
        <v>42987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DATE(Dateneingabe!$B$5,9,10)</f>
        <v>42988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DATE(Dateneingabe!$B$5,9,11)</f>
        <v>42989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DATE(Dateneingabe!$B$5,9,12)</f>
        <v>42990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DATE(Dateneingabe!$B$5,9,13)</f>
        <v>42991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DATE(Dateneingabe!$B$5,9,14)</f>
        <v>42992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DATE(Dateneingabe!$B$5,9,15)</f>
        <v>42993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DATE(Dateneingabe!$B$5,9,16)</f>
        <v>42994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DATE(Dateneingabe!$B$5,9,17)</f>
        <v>42995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DATE(Dateneingabe!$B$5,9,18)</f>
        <v>42996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DATE(Dateneingabe!$B$5,9,19)</f>
        <v>42997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DATE(Dateneingabe!$B$5,9,20)</f>
        <v>42998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DATE(Dateneingabe!$B$5,9,21)</f>
        <v>42999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DATE(Dateneingabe!$B$5,9,22)</f>
        <v>43000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DATE(Dateneingabe!$B$5,9,23)</f>
        <v>43001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DATE(Dateneingabe!$B$5,9,24)</f>
        <v>43002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DATE(Dateneingabe!$B$5,9,25)</f>
        <v>43003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DATE(Dateneingabe!$B$5,9,26)</f>
        <v>43004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DATE(Dateneingabe!$B$5,9,27)</f>
        <v>43005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DATE(Dateneingabe!$B$5,9,28)</f>
        <v>43006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DATE(Dateneingabe!$B$5,9,29)</f>
        <v>43007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4">
        <f>DATE(Dateneingabe!$B$5,9,30)</f>
        <v>43008</v>
      </c>
      <c r="B36" s="45">
        <v>0</v>
      </c>
      <c r="C36" s="45">
        <v>0</v>
      </c>
      <c r="D36" s="45">
        <v>0</v>
      </c>
      <c r="E36" s="25">
        <f t="shared" si="0"/>
        <v>0</v>
      </c>
      <c r="F36" s="47"/>
      <c r="G36" s="54"/>
    </row>
    <row r="37" spans="1:8" ht="15" customHeight="1" x14ac:dyDescent="0.25">
      <c r="A37" s="21"/>
      <c r="E37" s="28">
        <f>SUM(E7:E36)</f>
        <v>0</v>
      </c>
      <c r="G37" s="55"/>
    </row>
    <row r="38" spans="1:8" ht="15" customHeight="1" x14ac:dyDescent="0.25">
      <c r="A38" s="21"/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SUM(E7:E36)*24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Dateneingabe!B16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7:A38">
    <cfRule type="expression" dxfId="21" priority="7">
      <formula>OR(WEEKDAY(A36,1)=6,WEEKDAY(A36,1)=7)</formula>
    </cfRule>
  </conditionalFormatting>
  <conditionalFormatting sqref="B7:E36">
    <cfRule type="cellIs" dxfId="20" priority="4" operator="equal">
      <formula>0</formula>
    </cfRule>
  </conditionalFormatting>
  <conditionalFormatting sqref="E37">
    <cfRule type="cellIs" dxfId="19" priority="3" operator="equal">
      <formula>0</formula>
    </cfRule>
  </conditionalFormatting>
  <conditionalFormatting sqref="A7:A36">
    <cfRule type="timePeriod" dxfId="18" priority="1" timePeriod="today">
      <formula>FLOOR(A7,1)=TODAY()</formula>
    </cfRule>
    <cfRule type="expression" dxfId="17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3" tint="0.59999389629810485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DATE(Dateneingabe!$B$5,10,1)</f>
        <v>43009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DATE(Dateneingabe!$B$5,10,2)</f>
        <v>43010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DATE(Dateneingabe!$B$5,10,3)</f>
        <v>43011</v>
      </c>
      <c r="B9" s="44">
        <v>0</v>
      </c>
      <c r="C9" s="44">
        <v>0</v>
      </c>
      <c r="D9" s="44">
        <v>0</v>
      </c>
      <c r="E9" s="22">
        <f t="shared" ref="E9:E37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DATE(Dateneingabe!$B$5,10,4)</f>
        <v>43012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DATE(Dateneingabe!$B$5,10,5)</f>
        <v>43013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DATE(Dateneingabe!$B$5,10,6)</f>
        <v>43014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DATE(Dateneingabe!$B$5,10,7)</f>
        <v>43015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DATE(Dateneingabe!$B$5,10,8)</f>
        <v>43016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DATE(Dateneingabe!$B$5,10,9)</f>
        <v>43017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DATE(Dateneingabe!$B$5,10,10)</f>
        <v>43018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DATE(Dateneingabe!$B$5,10,11)</f>
        <v>43019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DATE(Dateneingabe!$B$5,10,12)</f>
        <v>43020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DATE(Dateneingabe!$B$5,10,13)</f>
        <v>43021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DATE(Dateneingabe!$B$5,10,14)</f>
        <v>43022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DATE(Dateneingabe!$B$5,10,15)</f>
        <v>43023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DATE(Dateneingabe!$B$5,10,16)</f>
        <v>43024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DATE(Dateneingabe!$B$5,10,17)</f>
        <v>43025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DATE(Dateneingabe!$B$5,10,18)</f>
        <v>43026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DATE(Dateneingabe!$B$5,10,19)</f>
        <v>43027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DATE(Dateneingabe!$B$5,10,20)</f>
        <v>43028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DATE(Dateneingabe!$B$5,10,21)</f>
        <v>43029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DATE(Dateneingabe!$B$5,10,22)</f>
        <v>43030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DATE(Dateneingabe!$B$5,10,23)</f>
        <v>43031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DATE(Dateneingabe!$B$5,10,24)</f>
        <v>43032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DATE(Dateneingabe!$B$5,10,25)</f>
        <v>43033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DATE(Dateneingabe!$B$5,10,26)</f>
        <v>43034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DATE(Dateneingabe!$B$5,10,27)</f>
        <v>43035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DATE(Dateneingabe!$B$5,10,28)</f>
        <v>43036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DATE(Dateneingabe!$B$5,10,29)</f>
        <v>43037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1">
        <f>DATE(Dateneingabe!$B$5,10,30)</f>
        <v>43038</v>
      </c>
      <c r="B36" s="44">
        <v>0</v>
      </c>
      <c r="C36" s="44">
        <v>0</v>
      </c>
      <c r="D36" s="44">
        <v>0</v>
      </c>
      <c r="E36" s="22">
        <f t="shared" si="0"/>
        <v>0</v>
      </c>
      <c r="F36" s="46"/>
      <c r="G36" s="54"/>
    </row>
    <row r="37" spans="1:8" ht="15" customHeight="1" x14ac:dyDescent="0.25">
      <c r="A37" s="24">
        <f>DATE(Dateneingabe!$B$5,10,31)</f>
        <v>43039</v>
      </c>
      <c r="B37" s="45">
        <v>0</v>
      </c>
      <c r="C37" s="45">
        <v>0</v>
      </c>
      <c r="D37" s="45">
        <v>0</v>
      </c>
      <c r="E37" s="25">
        <f t="shared" si="0"/>
        <v>0</v>
      </c>
      <c r="F37" s="47"/>
      <c r="G37" s="55"/>
    </row>
    <row r="38" spans="1:8" ht="15" customHeight="1" x14ac:dyDescent="0.25">
      <c r="A38" s="26"/>
      <c r="B38" s="27"/>
      <c r="C38" s="27"/>
      <c r="D38" s="27"/>
      <c r="E38" s="28">
        <f>SUM(E7:E37)</f>
        <v>0</v>
      </c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SUM(E7:E37)*24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Dateneingabe!B17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mergeCells count="4">
    <mergeCell ref="B1:E1"/>
    <mergeCell ref="B2:E2"/>
    <mergeCell ref="B3:E3"/>
    <mergeCell ref="B4:E4"/>
  </mergeCells>
  <conditionalFormatting sqref="A38">
    <cfRule type="timePeriod" dxfId="16" priority="5" timePeriod="today">
      <formula>FLOOR(A38,1)=TODAY()</formula>
    </cfRule>
    <cfRule type="expression" dxfId="15" priority="6">
      <formula>OR(WEEKDAY(A38,1)=7,WEEKDAY(A38,1)=1)</formula>
    </cfRule>
  </conditionalFormatting>
  <conditionalFormatting sqref="B7:E37 B38:D38">
    <cfRule type="cellIs" dxfId="14" priority="4" operator="equal">
      <formula>0</formula>
    </cfRule>
  </conditionalFormatting>
  <conditionalFormatting sqref="E38">
    <cfRule type="cellIs" dxfId="13" priority="3" operator="equal">
      <formula>0</formula>
    </cfRule>
  </conditionalFormatting>
  <conditionalFormatting sqref="A7:A37">
    <cfRule type="timePeriod" dxfId="12" priority="1" timePeriod="today">
      <formula>FLOOR(A7,1)=TODAY()</formula>
    </cfRule>
    <cfRule type="expression" dxfId="11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3" tint="0.59999389629810485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DATE(Dateneingabe!$B$5,11,1)</f>
        <v>43040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DATE(Dateneingabe!$B$5,11,2)</f>
        <v>43041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DATE(Dateneingabe!$B$5,11,3)</f>
        <v>43042</v>
      </c>
      <c r="B9" s="44">
        <v>0</v>
      </c>
      <c r="C9" s="44">
        <v>0</v>
      </c>
      <c r="D9" s="44">
        <v>0</v>
      </c>
      <c r="E9" s="22">
        <f t="shared" ref="E9:E36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DATE(Dateneingabe!$B$5,11,4)</f>
        <v>43043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DATE(Dateneingabe!$B$5,11,5)</f>
        <v>43044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DATE(Dateneingabe!$B$5,11,6)</f>
        <v>43045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DATE(Dateneingabe!$B$5,11,7)</f>
        <v>43046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DATE(Dateneingabe!$B$5,11,8)</f>
        <v>43047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DATE(Dateneingabe!$B$5,11,9)</f>
        <v>43048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DATE(Dateneingabe!$B$5,11,10)</f>
        <v>43049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DATE(Dateneingabe!$B$5,11,11)</f>
        <v>43050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DATE(Dateneingabe!$B$5,11,12)</f>
        <v>43051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DATE(Dateneingabe!$B$5,11,13)</f>
        <v>43052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DATE(Dateneingabe!$B$5,11,14)</f>
        <v>43053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DATE(Dateneingabe!$B$5,11,15)</f>
        <v>43054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DATE(Dateneingabe!$B$5,11,16)</f>
        <v>43055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DATE(Dateneingabe!$B$5,11,17)</f>
        <v>43056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DATE(Dateneingabe!$B$5,11,18)</f>
        <v>43057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DATE(Dateneingabe!$B$5,11,19)</f>
        <v>43058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DATE(Dateneingabe!$B$5,11,20)</f>
        <v>43059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DATE(Dateneingabe!$B$5,11,21)</f>
        <v>43060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DATE(Dateneingabe!$B$5,11,22)</f>
        <v>43061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DATE(Dateneingabe!$B$5,11,23)</f>
        <v>43062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DATE(Dateneingabe!$B$5,11,24)</f>
        <v>43063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DATE(Dateneingabe!$B$5,11,25)</f>
        <v>43064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DATE(Dateneingabe!$B$5,11,26)</f>
        <v>43065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DATE(Dateneingabe!$B$5,11,27)</f>
        <v>43066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DATE(Dateneingabe!$B$5,11,28)</f>
        <v>43067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DATE(Dateneingabe!$B$5,11,29)</f>
        <v>43068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4">
        <f>DATE(Dateneingabe!$B$5,11,30)</f>
        <v>43069</v>
      </c>
      <c r="B36" s="45">
        <v>0</v>
      </c>
      <c r="C36" s="45">
        <v>0</v>
      </c>
      <c r="D36" s="45">
        <v>0</v>
      </c>
      <c r="E36" s="25">
        <f t="shared" si="0"/>
        <v>0</v>
      </c>
      <c r="F36" s="47"/>
      <c r="G36" s="54"/>
    </row>
    <row r="37" spans="1:8" ht="15" customHeight="1" x14ac:dyDescent="0.25">
      <c r="A37" s="21"/>
      <c r="E37" s="28">
        <f>SUM(E7:E36)</f>
        <v>0</v>
      </c>
      <c r="G37" s="55"/>
    </row>
    <row r="38" spans="1:8" ht="15" customHeight="1" x14ac:dyDescent="0.25">
      <c r="A38" s="21"/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SUM(E7:E36)*24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Dateneingabe!B18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7:A38">
    <cfRule type="expression" dxfId="10" priority="7">
      <formula>OR(WEEKDAY(A36,1)=6,WEEKDAY(A36,1)=7)</formula>
    </cfRule>
  </conditionalFormatting>
  <conditionalFormatting sqref="B7:E36">
    <cfRule type="cellIs" dxfId="9" priority="4" operator="equal">
      <formula>0</formula>
    </cfRule>
  </conditionalFormatting>
  <conditionalFormatting sqref="E37">
    <cfRule type="cellIs" dxfId="8" priority="3" operator="equal">
      <formula>0</formula>
    </cfRule>
  </conditionalFormatting>
  <conditionalFormatting sqref="A7:A36">
    <cfRule type="timePeriod" dxfId="7" priority="1" timePeriod="today">
      <formula>FLOOR(A7,1)=TODAY()</formula>
    </cfRule>
    <cfRule type="expression" dxfId="6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3" tint="0.59999389629810485"/>
  </sheetPr>
  <dimension ref="A1:H46"/>
  <sheetViews>
    <sheetView zoomScaleNormal="100"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DATE(Dateneingabe!$B$5,12,1)</f>
        <v>43070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DATE(Dateneingabe!$B$5,12,2)</f>
        <v>43071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DATE(Dateneingabe!$B$5,12,3)</f>
        <v>43072</v>
      </c>
      <c r="B9" s="44">
        <v>0</v>
      </c>
      <c r="C9" s="44">
        <v>0</v>
      </c>
      <c r="D9" s="44">
        <v>0</v>
      </c>
      <c r="E9" s="22">
        <f t="shared" ref="E9:E37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DATE(Dateneingabe!$B$5,12,4)</f>
        <v>43073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DATE(Dateneingabe!$B$5,12,5)</f>
        <v>43074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DATE(Dateneingabe!$B$5,12,6)</f>
        <v>43075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DATE(Dateneingabe!$B$5,12,7)</f>
        <v>43076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DATE(Dateneingabe!$B$5,12,8)</f>
        <v>43077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DATE(Dateneingabe!$B$5,12,9)</f>
        <v>43078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DATE(Dateneingabe!$B$5,12,10)</f>
        <v>43079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DATE(Dateneingabe!$B$5,12,11)</f>
        <v>43080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DATE(Dateneingabe!$B$5,12,12)</f>
        <v>43081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DATE(Dateneingabe!$B$5,12,13)</f>
        <v>43082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DATE(Dateneingabe!$B$5,12,14)</f>
        <v>43083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DATE(Dateneingabe!$B$5,12,15)</f>
        <v>43084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DATE(Dateneingabe!$B$5,12,16)</f>
        <v>43085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DATE(Dateneingabe!$B$5,12,17)</f>
        <v>43086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DATE(Dateneingabe!$B$5,12,18)</f>
        <v>43087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DATE(Dateneingabe!$B$5,12,19)</f>
        <v>43088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DATE(Dateneingabe!$B$5,12,20)</f>
        <v>43089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DATE(Dateneingabe!$B$5,12,21)</f>
        <v>43090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DATE(Dateneingabe!$B$5,12,22)</f>
        <v>43091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DATE(Dateneingabe!$B$5,12,23)</f>
        <v>43092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DATE(Dateneingabe!$B$5,12,24)</f>
        <v>43093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DATE(Dateneingabe!$B$5,12,25)</f>
        <v>43094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DATE(Dateneingabe!$B$5,12,26)</f>
        <v>43095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DATE(Dateneingabe!$B$5,12,27)</f>
        <v>43096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DATE(Dateneingabe!$B$5,12,28)</f>
        <v>43097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DATE(Dateneingabe!$B$5,12,29)</f>
        <v>43098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1">
        <f>DATE(Dateneingabe!$B$5,12,30)</f>
        <v>43099</v>
      </c>
      <c r="B36" s="44">
        <v>0</v>
      </c>
      <c r="C36" s="44">
        <v>0</v>
      </c>
      <c r="D36" s="44">
        <v>0</v>
      </c>
      <c r="E36" s="22">
        <f t="shared" si="0"/>
        <v>0</v>
      </c>
      <c r="F36" s="46"/>
      <c r="G36" s="54"/>
    </row>
    <row r="37" spans="1:8" ht="15" customHeight="1" x14ac:dyDescent="0.25">
      <c r="A37" s="24">
        <f>DATE(Dateneingabe!$B$5,12,31)</f>
        <v>43100</v>
      </c>
      <c r="B37" s="45">
        <v>0</v>
      </c>
      <c r="C37" s="45">
        <v>0</v>
      </c>
      <c r="D37" s="45">
        <v>0</v>
      </c>
      <c r="E37" s="25">
        <f t="shared" si="0"/>
        <v>0</v>
      </c>
      <c r="F37" s="47"/>
      <c r="G37" s="55"/>
    </row>
    <row r="38" spans="1:8" ht="15" customHeight="1" x14ac:dyDescent="0.25">
      <c r="A38" s="26"/>
      <c r="B38" s="27"/>
      <c r="C38" s="27"/>
      <c r="D38" s="27"/>
      <c r="E38" s="28">
        <f>SUM(E7:E37)</f>
        <v>0</v>
      </c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SUM(E7:E37)*24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Dateneingabe!B19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8">
    <cfRule type="timePeriod" dxfId="5" priority="5" timePeriod="today">
      <formula>FLOOR(A38,1)=TODAY()</formula>
    </cfRule>
    <cfRule type="expression" dxfId="4" priority="6">
      <formula>OR(WEEKDAY(A38,1)=7,WEEKDAY(A38,1)=1)</formula>
    </cfRule>
  </conditionalFormatting>
  <conditionalFormatting sqref="B7:E37 B38:D38">
    <cfRule type="cellIs" dxfId="3" priority="4" operator="equal">
      <formula>0</formula>
    </cfRule>
  </conditionalFormatting>
  <conditionalFormatting sqref="E38">
    <cfRule type="cellIs" dxfId="2" priority="3" operator="equal">
      <formula>0</formula>
    </cfRule>
  </conditionalFormatting>
  <conditionalFormatting sqref="A7:A37">
    <cfRule type="timePeriod" dxfId="1" priority="1" timePeriod="today">
      <formula>FLOOR(A7,1)=TODAY()</formula>
    </cfRule>
    <cfRule type="expression" dxfId="0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36"/>
  <sheetViews>
    <sheetView workbookViewId="0">
      <selection activeCell="B24" sqref="B24"/>
    </sheetView>
  </sheetViews>
  <sheetFormatPr baseColWidth="10" defaultColWidth="11.42578125" defaultRowHeight="15" x14ac:dyDescent="0.25"/>
  <cols>
    <col min="1" max="1" width="29.140625" style="1" customWidth="1"/>
    <col min="2" max="3" width="11.42578125" style="1"/>
    <col min="4" max="4" width="10.28515625" style="1" customWidth="1"/>
    <col min="5" max="6" width="11.42578125" style="1"/>
    <col min="7" max="7" width="54.42578125" style="1" customWidth="1"/>
    <col min="8" max="16384" width="11.42578125" style="1"/>
  </cols>
  <sheetData>
    <row r="1" spans="1:7" x14ac:dyDescent="0.25">
      <c r="A1" s="12" t="s">
        <v>2</v>
      </c>
      <c r="B1" s="92" t="str">
        <f>Dateneingabe!B1</f>
        <v>Testperson</v>
      </c>
      <c r="C1" s="92"/>
      <c r="D1" s="92"/>
      <c r="E1" s="92"/>
      <c r="F1" s="57"/>
      <c r="G1" s="58"/>
    </row>
    <row r="2" spans="1:7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F2" s="59"/>
      <c r="G2" s="59"/>
    </row>
    <row r="3" spans="1:7" x14ac:dyDescent="0.25">
      <c r="A3" s="14" t="s">
        <v>6</v>
      </c>
      <c r="B3" s="94" t="str">
        <f>Dateneingabe!B3</f>
        <v>Prof. Test</v>
      </c>
      <c r="C3" s="94"/>
      <c r="D3" s="94"/>
      <c r="E3" s="94"/>
      <c r="F3" s="59"/>
      <c r="G3" s="59"/>
    </row>
    <row r="4" spans="1:7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F4" s="59"/>
      <c r="G4" s="59"/>
    </row>
    <row r="5" spans="1:7" x14ac:dyDescent="0.25">
      <c r="A5" s="14" t="s">
        <v>35</v>
      </c>
      <c r="B5" s="94">
        <f>Dateneingabe!B5</f>
        <v>2017</v>
      </c>
      <c r="C5" s="94"/>
      <c r="D5" s="94"/>
      <c r="E5" s="94"/>
      <c r="F5" s="59"/>
    </row>
    <row r="6" spans="1:7" x14ac:dyDescent="0.25">
      <c r="A6" s="60"/>
      <c r="B6" s="13"/>
      <c r="C6" s="13"/>
      <c r="D6" s="13"/>
      <c r="E6" s="13"/>
      <c r="F6" s="13"/>
    </row>
    <row r="7" spans="1:7" ht="45" x14ac:dyDescent="0.25">
      <c r="A7" s="61" t="s">
        <v>27</v>
      </c>
      <c r="B7" s="62" t="s">
        <v>28</v>
      </c>
      <c r="C7" s="62" t="s">
        <v>4</v>
      </c>
      <c r="D7" s="7" t="s">
        <v>3</v>
      </c>
      <c r="E7" s="62" t="s">
        <v>61</v>
      </c>
      <c r="G7" s="59"/>
    </row>
    <row r="8" spans="1:7" ht="14.45" x14ac:dyDescent="0.3">
      <c r="A8" s="15" t="s">
        <v>7</v>
      </c>
      <c r="B8" s="63">
        <f>Dateneingabe!B8</f>
        <v>0</v>
      </c>
      <c r="C8" s="63">
        <f>Januar!E40</f>
        <v>0</v>
      </c>
      <c r="D8" s="63">
        <f>B8-C8</f>
        <v>0</v>
      </c>
      <c r="E8" s="63">
        <f t="shared" ref="E8:E19" si="0">B8/26*2</f>
        <v>0</v>
      </c>
      <c r="G8" s="59"/>
    </row>
    <row r="9" spans="1:7" ht="14.45" x14ac:dyDescent="0.3">
      <c r="A9" s="15" t="s">
        <v>8</v>
      </c>
      <c r="B9" s="63">
        <f>Dateneingabe!B9</f>
        <v>0</v>
      </c>
      <c r="C9" s="63">
        <f>Februar!E40</f>
        <v>0</v>
      </c>
      <c r="D9" s="63">
        <f t="shared" ref="D9:D19" si="1">B9-C9</f>
        <v>0</v>
      </c>
      <c r="E9" s="63">
        <f t="shared" si="0"/>
        <v>0</v>
      </c>
      <c r="G9" s="59"/>
    </row>
    <row r="10" spans="1:7" x14ac:dyDescent="0.25">
      <c r="A10" s="15" t="s">
        <v>9</v>
      </c>
      <c r="B10" s="63">
        <f>Dateneingabe!B10</f>
        <v>0</v>
      </c>
      <c r="C10" s="63">
        <f>März!E40</f>
        <v>0</v>
      </c>
      <c r="D10" s="63">
        <f t="shared" si="1"/>
        <v>0</v>
      </c>
      <c r="E10" s="63">
        <f t="shared" si="0"/>
        <v>0</v>
      </c>
      <c r="G10" s="59"/>
    </row>
    <row r="11" spans="1:7" ht="14.45" x14ac:dyDescent="0.3">
      <c r="A11" s="15" t="s">
        <v>10</v>
      </c>
      <c r="B11" s="63">
        <f>Dateneingabe!B11</f>
        <v>0</v>
      </c>
      <c r="C11" s="63">
        <f>April!E40</f>
        <v>0</v>
      </c>
      <c r="D11" s="63">
        <f t="shared" si="1"/>
        <v>0</v>
      </c>
      <c r="E11" s="63">
        <f t="shared" si="0"/>
        <v>0</v>
      </c>
      <c r="G11" s="59"/>
    </row>
    <row r="12" spans="1:7" ht="14.45" x14ac:dyDescent="0.3">
      <c r="A12" s="15" t="s">
        <v>11</v>
      </c>
      <c r="B12" s="63">
        <f>Dateneingabe!B12</f>
        <v>0</v>
      </c>
      <c r="C12" s="63">
        <f>Mai!E40</f>
        <v>0</v>
      </c>
      <c r="D12" s="63">
        <f t="shared" si="1"/>
        <v>0</v>
      </c>
      <c r="E12" s="63">
        <f t="shared" si="0"/>
        <v>0</v>
      </c>
      <c r="G12" s="59"/>
    </row>
    <row r="13" spans="1:7" ht="14.45" x14ac:dyDescent="0.3">
      <c r="A13" s="15" t="s">
        <v>12</v>
      </c>
      <c r="B13" s="63">
        <f>Dateneingabe!B13</f>
        <v>0</v>
      </c>
      <c r="C13" s="63">
        <f>Juni!E40</f>
        <v>0</v>
      </c>
      <c r="D13" s="63">
        <f t="shared" si="1"/>
        <v>0</v>
      </c>
      <c r="E13" s="63">
        <f t="shared" si="0"/>
        <v>0</v>
      </c>
      <c r="G13" s="59"/>
    </row>
    <row r="14" spans="1:7" ht="14.45" x14ac:dyDescent="0.3">
      <c r="A14" s="15" t="s">
        <v>13</v>
      </c>
      <c r="B14" s="63">
        <f>Dateneingabe!B14</f>
        <v>0</v>
      </c>
      <c r="C14" s="63">
        <f>Juli!E40</f>
        <v>0</v>
      </c>
      <c r="D14" s="63">
        <f t="shared" si="1"/>
        <v>0</v>
      </c>
      <c r="E14" s="63">
        <f t="shared" si="0"/>
        <v>0</v>
      </c>
      <c r="G14" s="59"/>
    </row>
    <row r="15" spans="1:7" ht="14.45" x14ac:dyDescent="0.3">
      <c r="A15" s="15" t="s">
        <v>14</v>
      </c>
      <c r="B15" s="63">
        <f>Dateneingabe!B15</f>
        <v>0</v>
      </c>
      <c r="C15" s="63">
        <f>August!E40</f>
        <v>0</v>
      </c>
      <c r="D15" s="63">
        <f t="shared" si="1"/>
        <v>0</v>
      </c>
      <c r="E15" s="63">
        <f t="shared" si="0"/>
        <v>0</v>
      </c>
      <c r="G15" s="59"/>
    </row>
    <row r="16" spans="1:7" ht="14.45" x14ac:dyDescent="0.3">
      <c r="A16" s="15" t="s">
        <v>15</v>
      </c>
      <c r="B16" s="63">
        <f>Dateneingabe!B16</f>
        <v>0</v>
      </c>
      <c r="C16" s="63">
        <f>September!E40</f>
        <v>0</v>
      </c>
      <c r="D16" s="63">
        <f t="shared" si="1"/>
        <v>0</v>
      </c>
      <c r="E16" s="63">
        <f t="shared" si="0"/>
        <v>0</v>
      </c>
      <c r="G16" s="59"/>
    </row>
    <row r="17" spans="1:7" ht="14.45" x14ac:dyDescent="0.3">
      <c r="A17" s="15" t="s">
        <v>16</v>
      </c>
      <c r="B17" s="63">
        <f>Dateneingabe!B17</f>
        <v>0</v>
      </c>
      <c r="C17" s="63">
        <f>Oktober!E40</f>
        <v>0</v>
      </c>
      <c r="D17" s="63">
        <f t="shared" si="1"/>
        <v>0</v>
      </c>
      <c r="E17" s="63">
        <f t="shared" si="0"/>
        <v>0</v>
      </c>
      <c r="G17" s="59"/>
    </row>
    <row r="18" spans="1:7" ht="14.45" x14ac:dyDescent="0.3">
      <c r="A18" s="15" t="s">
        <v>17</v>
      </c>
      <c r="B18" s="63">
        <f>Dateneingabe!B18</f>
        <v>0</v>
      </c>
      <c r="C18" s="63">
        <f>November!E40</f>
        <v>0</v>
      </c>
      <c r="D18" s="63">
        <f t="shared" si="1"/>
        <v>0</v>
      </c>
      <c r="E18" s="63">
        <f t="shared" si="0"/>
        <v>0</v>
      </c>
      <c r="G18" s="59"/>
    </row>
    <row r="19" spans="1:7" ht="14.45" x14ac:dyDescent="0.3">
      <c r="A19" s="16" t="s">
        <v>18</v>
      </c>
      <c r="B19" s="64">
        <f>Dateneingabe!B19</f>
        <v>0</v>
      </c>
      <c r="C19" s="64">
        <f>Dezember!E40</f>
        <v>0</v>
      </c>
      <c r="D19" s="63">
        <f t="shared" si="1"/>
        <v>0</v>
      </c>
      <c r="E19" s="63">
        <f t="shared" si="0"/>
        <v>0</v>
      </c>
      <c r="G19" s="59"/>
    </row>
    <row r="20" spans="1:7" ht="14.45" x14ac:dyDescent="0.3">
      <c r="A20" s="15" t="s">
        <v>71</v>
      </c>
      <c r="B20" s="63">
        <f>SUM(B8:B19)</f>
        <v>0</v>
      </c>
      <c r="C20" s="63"/>
      <c r="D20" s="65"/>
      <c r="E20" s="66">
        <f>ROUND(SUM(E8:E19),0)</f>
        <v>0</v>
      </c>
      <c r="F20" s="67"/>
      <c r="G20" s="59"/>
    </row>
    <row r="21" spans="1:7" x14ac:dyDescent="0.25">
      <c r="A21" s="15" t="s">
        <v>70</v>
      </c>
      <c r="B21" s="63">
        <f>E20</f>
        <v>0</v>
      </c>
      <c r="E21" s="68"/>
      <c r="F21" s="67"/>
      <c r="G21" s="59"/>
    </row>
    <row r="22" spans="1:7" x14ac:dyDescent="0.25">
      <c r="A22" s="15" t="s">
        <v>101</v>
      </c>
      <c r="B22" s="63">
        <f>Dateneingabe!B23</f>
        <v>0</v>
      </c>
      <c r="E22" s="68"/>
      <c r="F22" s="67"/>
      <c r="G22" s="59"/>
    </row>
    <row r="23" spans="1:7" ht="15.75" thickBot="1" x14ac:dyDescent="0.3">
      <c r="A23" s="15" t="s">
        <v>103</v>
      </c>
      <c r="B23" s="63">
        <f>Dateneingabe!B24</f>
        <v>0</v>
      </c>
      <c r="E23" s="68"/>
      <c r="F23" s="67"/>
      <c r="G23" s="59"/>
    </row>
    <row r="24" spans="1:7" x14ac:dyDescent="0.25">
      <c r="A24" s="69" t="s">
        <v>72</v>
      </c>
      <c r="B24" s="76">
        <f>B20-B21-B22+B23</f>
        <v>0</v>
      </c>
      <c r="C24" s="77">
        <f>ROUND(SUM(C8:C19),2)</f>
        <v>0</v>
      </c>
      <c r="D24" s="76">
        <f>B24-C24</f>
        <v>0</v>
      </c>
      <c r="E24" s="67"/>
      <c r="F24" s="67"/>
      <c r="G24" s="59"/>
    </row>
    <row r="25" spans="1:7" ht="14.45" x14ac:dyDescent="0.3">
      <c r="A25" s="70" t="s">
        <v>63</v>
      </c>
      <c r="B25" s="78">
        <f>ROUNDDOWN(B24,0)</f>
        <v>0</v>
      </c>
      <c r="C25" s="79">
        <f>ROUNDDOWN(C24,0)</f>
        <v>0</v>
      </c>
      <c r="D25" s="78">
        <f>ROUNDDOWN(D24,0)</f>
        <v>0</v>
      </c>
      <c r="E25" s="67"/>
      <c r="G25" s="59"/>
    </row>
    <row r="26" spans="1:7" thickBot="1" x14ac:dyDescent="0.35">
      <c r="A26" s="71" t="s">
        <v>62</v>
      </c>
      <c r="B26" s="80">
        <f>ROUNDDOWN(((B24-B25)*60),0)</f>
        <v>0</v>
      </c>
      <c r="C26" s="81">
        <f>ROUNDDOWN(((C24-C25)*60),0)</f>
        <v>0</v>
      </c>
      <c r="D26" s="80">
        <f>ROUNDDOWN(((D24-D25)*60),0)</f>
        <v>0</v>
      </c>
      <c r="E26" s="67"/>
    </row>
    <row r="27" spans="1:7" x14ac:dyDescent="0.25">
      <c r="A27" s="60"/>
      <c r="B27" s="72"/>
      <c r="C27" s="72"/>
      <c r="D27" s="72"/>
      <c r="E27" s="72"/>
    </row>
    <row r="28" spans="1:7" x14ac:dyDescent="0.25">
      <c r="A28" s="6" t="s">
        <v>75</v>
      </c>
    </row>
    <row r="29" spans="1:7" x14ac:dyDescent="0.25">
      <c r="A29" s="6" t="s">
        <v>76</v>
      </c>
      <c r="B29" s="73"/>
    </row>
    <row r="30" spans="1:7" x14ac:dyDescent="0.25">
      <c r="A30" s="6" t="s">
        <v>77</v>
      </c>
    </row>
    <row r="31" spans="1:7" x14ac:dyDescent="0.25">
      <c r="A31" s="90" t="s">
        <v>78</v>
      </c>
      <c r="B31" s="91"/>
      <c r="C31" s="91"/>
      <c r="D31" s="91"/>
      <c r="E31" s="91"/>
      <c r="F31" s="91"/>
    </row>
    <row r="32" spans="1:7" x14ac:dyDescent="0.25">
      <c r="A32" s="6" t="s">
        <v>79</v>
      </c>
    </row>
    <row r="34" spans="1:6" x14ac:dyDescent="0.25">
      <c r="A34" s="1" t="s">
        <v>80</v>
      </c>
    </row>
    <row r="35" spans="1:6" x14ac:dyDescent="0.25">
      <c r="A35" s="1" t="s">
        <v>82</v>
      </c>
    </row>
    <row r="36" spans="1:6" x14ac:dyDescent="0.25">
      <c r="A36" s="89" t="s">
        <v>81</v>
      </c>
      <c r="B36" s="89"/>
      <c r="C36" s="89"/>
      <c r="D36" s="89"/>
      <c r="E36" s="89"/>
      <c r="F36" s="89"/>
    </row>
  </sheetData>
  <sheetProtection password="C54A" sheet="1" objects="1" scenarios="1"/>
  <mergeCells count="7">
    <mergeCell ref="A36:F36"/>
    <mergeCell ref="A31:F31"/>
    <mergeCell ref="B1:E1"/>
    <mergeCell ref="B2:E2"/>
    <mergeCell ref="B3:E3"/>
    <mergeCell ref="B4:E4"/>
    <mergeCell ref="B5:E5"/>
  </mergeCells>
  <pageMargins left="0.70866141732283472" right="0.70866141732283472" top="1.2204724409448819" bottom="0.78740157480314965" header="0.6692913385826772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3" tint="0.59999389629810485"/>
  </sheetPr>
  <dimension ref="A1:H55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4" width="11.42578125" style="1"/>
    <col min="5" max="5" width="11.42578125" style="1" customWidth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5" t="str">
        <f>Dateneingabe!B1</f>
        <v>Testperson</v>
      </c>
      <c r="C1" s="95"/>
      <c r="D1" s="95"/>
      <c r="E1" s="95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G5" s="13"/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20" t="s">
        <v>29</v>
      </c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DATE(Dateneingabe!$B$5,1,1)</f>
        <v>42736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2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3">
      <c r="A8" s="21">
        <f>DATE(Dateneingabe!$B$5,1,2)</f>
        <v>42737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3">
      <c r="A9" s="21">
        <f>DATE(Dateneingabe!$B$5,1,3)</f>
        <v>42738</v>
      </c>
      <c r="B9" s="44">
        <v>0</v>
      </c>
      <c r="C9" s="44">
        <v>0</v>
      </c>
      <c r="D9" s="44">
        <v>0</v>
      </c>
      <c r="E9" s="22">
        <f t="shared" ref="E9:E37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3">
      <c r="A10" s="21">
        <f>DATE(Dateneingabe!$B$5,1,4)</f>
        <v>42739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3">
      <c r="A11" s="21">
        <f>DATE(Dateneingabe!$B$5,1,5)</f>
        <v>42740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3">
      <c r="A12" s="21">
        <f>DATE(Dateneingabe!$B$5,1,6)</f>
        <v>42741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3">
      <c r="A13" s="21">
        <f>DATE(Dateneingabe!$B$5,1,7)</f>
        <v>42742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3">
      <c r="A14" s="21">
        <f>DATE(Dateneingabe!$B$5,1,8)</f>
        <v>42743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3">
      <c r="A15" s="21">
        <f>DATE(Dateneingabe!$B$5,1,9)</f>
        <v>42744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3">
      <c r="A16" s="21">
        <f>DATE(Dateneingabe!$B$5,1,10)</f>
        <v>42745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3">
      <c r="A17" s="21">
        <f>DATE(Dateneingabe!$B$5,1,11)</f>
        <v>42746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3">
      <c r="A18" s="21">
        <f>DATE(Dateneingabe!$B$5,1,12)</f>
        <v>42747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3">
      <c r="A19" s="21">
        <f>DATE(Dateneingabe!$B$5,1,13)</f>
        <v>42748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3">
      <c r="A20" s="21">
        <f>DATE(Dateneingabe!$B$5,1,14)</f>
        <v>42749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3">
      <c r="A21" s="21">
        <f>DATE(Dateneingabe!$B$5,1,15)</f>
        <v>42750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3">
      <c r="A22" s="21">
        <f>DATE(Dateneingabe!$B$5,1,16)</f>
        <v>42751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3">
      <c r="A23" s="21">
        <f>DATE(Dateneingabe!$B$5,1,17)</f>
        <v>42752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3">
      <c r="A24" s="21">
        <f>DATE(Dateneingabe!$B$5,1,18)</f>
        <v>42753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3">
      <c r="A25" s="21">
        <f>DATE(Dateneingabe!$B$5,1,19)</f>
        <v>42754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3">
      <c r="A26" s="21">
        <f>DATE(Dateneingabe!$B$5,1,20)</f>
        <v>42755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3">
      <c r="A27" s="21">
        <f>DATE(Dateneingabe!$B$5,1,21)</f>
        <v>42756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3">
      <c r="A28" s="21">
        <f>DATE(Dateneingabe!$B$5,1,22)</f>
        <v>42757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3">
      <c r="A29" s="21">
        <f>DATE(Dateneingabe!$B$5,1,23)</f>
        <v>42758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3">
      <c r="A30" s="21">
        <f>DATE(Dateneingabe!$B$5,1,24)</f>
        <v>42759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3">
      <c r="A31" s="21">
        <f>DATE(Dateneingabe!$B$5,1,25)</f>
        <v>42760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3">
      <c r="A32" s="21">
        <f>DATE(Dateneingabe!$B$5,1,26)</f>
        <v>42761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3">
      <c r="A33" s="21">
        <f>DATE(Dateneingabe!$B$5,1,27)</f>
        <v>42762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3">
      <c r="A34" s="21">
        <f>DATE(Dateneingabe!$B$5,1,28)</f>
        <v>42763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3">
      <c r="A35" s="21">
        <f>DATE(Dateneingabe!$B$5,1,29)</f>
        <v>42764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3">
      <c r="A36" s="21">
        <f>DATE(Dateneingabe!$B$5,1,30)</f>
        <v>42765</v>
      </c>
      <c r="B36" s="44">
        <v>0</v>
      </c>
      <c r="C36" s="44">
        <v>0</v>
      </c>
      <c r="D36" s="44">
        <v>0</v>
      </c>
      <c r="E36" s="22">
        <f t="shared" si="0"/>
        <v>0</v>
      </c>
      <c r="F36" s="46"/>
      <c r="G36" s="54"/>
    </row>
    <row r="37" spans="1:8" ht="15" customHeight="1" x14ac:dyDescent="0.3">
      <c r="A37" s="24">
        <f>DATE(Dateneingabe!$B$5,1,31)</f>
        <v>42766</v>
      </c>
      <c r="B37" s="45">
        <v>0</v>
      </c>
      <c r="C37" s="45">
        <v>0</v>
      </c>
      <c r="D37" s="45">
        <v>0</v>
      </c>
      <c r="E37" s="25">
        <f t="shared" si="0"/>
        <v>0</v>
      </c>
      <c r="F37" s="47"/>
      <c r="G37" s="54"/>
    </row>
    <row r="38" spans="1:8" ht="15" customHeight="1" x14ac:dyDescent="0.3">
      <c r="A38" s="26"/>
      <c r="B38" s="27"/>
      <c r="C38" s="27"/>
      <c r="D38" s="27"/>
      <c r="E38" s="28">
        <f>SUM(E7:E37)</f>
        <v>0</v>
      </c>
      <c r="G38" s="55"/>
    </row>
    <row r="39" spans="1:8" ht="15" customHeight="1" thickBot="1" x14ac:dyDescent="0.3"/>
    <row r="40" spans="1:8" ht="15" customHeight="1" thickBot="1" x14ac:dyDescent="0.3">
      <c r="D40" s="29" t="s">
        <v>25</v>
      </c>
      <c r="E40" s="30">
        <f>SUM(E7:E37)*24</f>
        <v>0</v>
      </c>
      <c r="F40" s="1" t="s">
        <v>24</v>
      </c>
    </row>
    <row r="41" spans="1:8" ht="15" customHeight="1" thickBot="1" x14ac:dyDescent="0.3">
      <c r="D41" s="29" t="s">
        <v>26</v>
      </c>
      <c r="E41" s="30">
        <f>Dateneingabe!B8</f>
        <v>0</v>
      </c>
      <c r="F41" s="1" t="s">
        <v>24</v>
      </c>
    </row>
    <row r="42" spans="1:8" ht="15" customHeight="1" thickBot="1" x14ac:dyDescent="0.3"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  <row r="47" spans="1:8" ht="15" customHeight="1" x14ac:dyDescent="0.25"/>
    <row r="48" spans="1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7:A38">
    <cfRule type="timePeriod" dxfId="70" priority="3" timePeriod="today">
      <formula>FLOOR(A7,1)=TODAY()</formula>
    </cfRule>
    <cfRule type="expression" dxfId="69" priority="10">
      <formula>OR(WEEKDAY(A7,1)=7,WEEKDAY(A7,1)=1)</formula>
    </cfRule>
  </conditionalFormatting>
  <conditionalFormatting sqref="B7:E38">
    <cfRule type="cellIs" dxfId="68" priority="1" operator="equal">
      <formula>0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3" tint="0.59999389629810485"/>
  </sheetPr>
  <dimension ref="A1:H49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2" width="11.42578125" style="1" customWidth="1"/>
    <col min="3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G5" s="13"/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13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DATE(Dateneingabe!$B$5,2,1)</f>
        <v>42767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DATE(Dateneingabe!$B$5,2,2)</f>
        <v>42768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2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DATE(Dateneingabe!$B$5,2,3)</f>
        <v>42769</v>
      </c>
      <c r="B9" s="44">
        <v>0</v>
      </c>
      <c r="C9" s="44">
        <v>0</v>
      </c>
      <c r="D9" s="44">
        <v>0</v>
      </c>
      <c r="E9" s="22">
        <f t="shared" ref="E9:E35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DATE(Dateneingabe!$B$5,2,4)</f>
        <v>42770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DATE(Dateneingabe!$B$5,2,5)</f>
        <v>42771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DATE(Dateneingabe!$B$5,2,6)</f>
        <v>42772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DATE(Dateneingabe!$B$5,2,7)</f>
        <v>42773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DATE(Dateneingabe!$B$5,2,8)</f>
        <v>42774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DATE(Dateneingabe!$B$5,2,9)</f>
        <v>42775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DATE(Dateneingabe!$B$5,2,10)</f>
        <v>42776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DATE(Dateneingabe!$B$5,2,11)</f>
        <v>42777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DATE(Dateneingabe!$B$5,2,12)</f>
        <v>42778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DATE(Dateneingabe!$B$5,2,13)</f>
        <v>42779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DATE(Dateneingabe!$B$5,2,14)</f>
        <v>42780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DATE(Dateneingabe!$B$5,2,15)</f>
        <v>42781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DATE(Dateneingabe!$B$5,2,16)</f>
        <v>42782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DATE(Dateneingabe!$B$5,2,17)</f>
        <v>42783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DATE(Dateneingabe!$B$5,2,18)</f>
        <v>42784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DATE(Dateneingabe!$B$5,2,19)</f>
        <v>42785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DATE(Dateneingabe!$B$5,2,20)</f>
        <v>42786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DATE(Dateneingabe!$B$5,2,21)</f>
        <v>42787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DATE(Dateneingabe!$B$5,2,22)</f>
        <v>42788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DATE(Dateneingabe!$B$5,2,23)</f>
        <v>42789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DATE(Dateneingabe!$B$5,2,24)</f>
        <v>42790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DATE(Dateneingabe!$B$5,2,25)</f>
        <v>42791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DATE(Dateneingabe!$B$5,2,26)</f>
        <v>42792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DATE(Dateneingabe!$B$5,2,27)</f>
        <v>42793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6">
        <f>DATE(Dateneingabe!$B$5,2,28)</f>
        <v>42794</v>
      </c>
      <c r="B34" s="48">
        <v>0</v>
      </c>
      <c r="C34" s="48">
        <v>0</v>
      </c>
      <c r="D34" s="48">
        <v>0</v>
      </c>
      <c r="E34" s="37">
        <f t="shared" si="0"/>
        <v>0</v>
      </c>
      <c r="F34" s="49"/>
      <c r="G34" s="54"/>
    </row>
    <row r="35" spans="1:8" ht="15" customHeight="1" x14ac:dyDescent="0.25">
      <c r="A35" s="24" t="str">
        <f>IF((MOD(Dateneingabe!B5,4)=0)-(MOD(Dateneingabe!B5,100)=0)+(MOD(Dateneingabe!B5,400)=0)=0," ",DATE(Dateneingabe!B5,2,29))</f>
        <v xml:space="preserve"> </v>
      </c>
      <c r="B35" s="45">
        <v>0</v>
      </c>
      <c r="C35" s="45">
        <v>0</v>
      </c>
      <c r="D35" s="45">
        <v>0</v>
      </c>
      <c r="E35" s="25">
        <f t="shared" si="0"/>
        <v>0</v>
      </c>
      <c r="F35" s="50"/>
      <c r="G35" s="54"/>
    </row>
    <row r="36" spans="1:8" ht="15" customHeight="1" x14ac:dyDescent="0.25">
      <c r="A36" s="21"/>
      <c r="E36" s="28">
        <f>SUM(E7:E35)</f>
        <v>0</v>
      </c>
      <c r="G36" s="54"/>
    </row>
    <row r="37" spans="1:8" ht="15" customHeight="1" x14ac:dyDescent="0.25">
      <c r="A37" s="21"/>
      <c r="E37" s="28"/>
      <c r="G37" s="54"/>
    </row>
    <row r="38" spans="1:8" ht="15" customHeight="1" x14ac:dyDescent="0.25">
      <c r="A38" s="21"/>
      <c r="B38" s="4"/>
      <c r="G38" s="54"/>
    </row>
    <row r="39" spans="1:8" ht="15" customHeight="1" thickBot="1" x14ac:dyDescent="0.3">
      <c r="G39" s="55"/>
    </row>
    <row r="40" spans="1:8" ht="15" customHeight="1" thickBot="1" x14ac:dyDescent="0.3">
      <c r="C40" s="15"/>
      <c r="D40" s="29" t="s">
        <v>25</v>
      </c>
      <c r="E40" s="30">
        <f>SUM(E7:E35)*24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Dateneingabe!B9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  <row r="47" spans="1:8" ht="15" customHeight="1" x14ac:dyDescent="0.25"/>
    <row r="48" spans="1:8" ht="15" customHeight="1" x14ac:dyDescent="0.25"/>
    <row r="49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6:A37">
    <cfRule type="expression" dxfId="67" priority="23">
      <formula>OR(WEEKDAY(A35,1)=6,WEEKDAY(A35,1)=7)</formula>
    </cfRule>
  </conditionalFormatting>
  <conditionalFormatting sqref="B7:E34 B35">
    <cfRule type="cellIs" dxfId="66" priority="20" operator="equal">
      <formula>0</formula>
    </cfRule>
  </conditionalFormatting>
  <conditionalFormatting sqref="A7:A34">
    <cfRule type="timePeriod" dxfId="65" priority="17" timePeriod="today">
      <formula>FLOOR(A7,1)=TODAY()</formula>
    </cfRule>
    <cfRule type="expression" dxfId="64" priority="18">
      <formula>OR(WEEKDAY(A7,1)=7,WEEKDAY(A7,1)=1)</formula>
    </cfRule>
  </conditionalFormatting>
  <conditionalFormatting sqref="E36:E37">
    <cfRule type="cellIs" dxfId="63" priority="16" operator="equal">
      <formula>0</formula>
    </cfRule>
  </conditionalFormatting>
  <conditionalFormatting sqref="A35">
    <cfRule type="timePeriod" dxfId="62" priority="11" timePeriod="today">
      <formula>FLOOR(A35,1)=TODAY()</formula>
    </cfRule>
    <cfRule type="expression" dxfId="61" priority="12">
      <formula>OR(WEEKDAY(A35,1)=7,WEEKDAY(A35,1)=1)</formula>
    </cfRule>
  </conditionalFormatting>
  <conditionalFormatting sqref="C35">
    <cfRule type="cellIs" dxfId="60" priority="4" operator="equal">
      <formula>0</formula>
    </cfRule>
  </conditionalFormatting>
  <conditionalFormatting sqref="D35">
    <cfRule type="cellIs" dxfId="59" priority="3" operator="equal">
      <formula>0</formula>
    </cfRule>
  </conditionalFormatting>
  <conditionalFormatting sqref="E35">
    <cfRule type="cellIs" dxfId="58" priority="2" operator="equal">
      <formula>0</formula>
    </cfRule>
  </conditionalFormatting>
  <conditionalFormatting sqref="A38">
    <cfRule type="expression" dxfId="57" priority="25">
      <formula>OR(WEEKDAY(A36,1)=6,WEEKDAY(A36,1)=7)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B150845-347C-44A1-BC56-59E648E3E818}">
            <xm:f>(MOD(Dateneingabe!$B$5,4)=0)-(MOD(Dateneingabe!$B$5,100)=0)+(MOD(Dateneingabe!$B$5,400)=0)=0</xm:f>
            <x14:dxf>
              <font>
                <color theme="0"/>
              </font>
            </x14:dxf>
          </x14:cfRule>
          <xm:sqref>B35:E35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3" tint="0.59999389629810485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G5" s="13"/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DATE(Dateneingabe!$B$5,3,1)</f>
        <v>42795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2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DATE(Dateneingabe!$B$5,3,2)</f>
        <v>42796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DATE(Dateneingabe!$B$5,3,3)</f>
        <v>42797</v>
      </c>
      <c r="B9" s="44">
        <v>0</v>
      </c>
      <c r="C9" s="44">
        <v>0</v>
      </c>
      <c r="D9" s="44">
        <v>0</v>
      </c>
      <c r="E9" s="22">
        <f t="shared" ref="E9:E37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DATE(Dateneingabe!$B$5,3,4)</f>
        <v>42798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DATE(Dateneingabe!$B$5,3,5)</f>
        <v>42799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DATE(Dateneingabe!$B$5,3,6)</f>
        <v>42800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DATE(Dateneingabe!$B$5,3,7)</f>
        <v>42801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DATE(Dateneingabe!$B$5,3,8)</f>
        <v>42802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DATE(Dateneingabe!$B$5,3,9)</f>
        <v>42803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DATE(Dateneingabe!$B$5,3,10)</f>
        <v>42804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DATE(Dateneingabe!$B$5,3,11)</f>
        <v>42805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DATE(Dateneingabe!$B$5,3,12)</f>
        <v>42806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DATE(Dateneingabe!$B$5,3,13)</f>
        <v>42807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DATE(Dateneingabe!$B$5,3,14)</f>
        <v>42808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DATE(Dateneingabe!$B$5,3,15)</f>
        <v>42809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DATE(Dateneingabe!$B$5,3,16)</f>
        <v>42810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DATE(Dateneingabe!$B$5,3,17)</f>
        <v>42811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DATE(Dateneingabe!$B$5,3,18)</f>
        <v>42812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DATE(Dateneingabe!$B$5,3,19)</f>
        <v>42813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DATE(Dateneingabe!$B$5,3,20)</f>
        <v>42814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DATE(Dateneingabe!$B$5,3,21)</f>
        <v>42815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DATE(Dateneingabe!$B$5,3,22)</f>
        <v>42816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DATE(Dateneingabe!$B$5,3,23)</f>
        <v>42817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DATE(Dateneingabe!$B$5,3,24)</f>
        <v>42818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DATE(Dateneingabe!$B$5,3,25)</f>
        <v>42819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DATE(Dateneingabe!$B$5,3,26)</f>
        <v>42820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DATE(Dateneingabe!$B$5,3,27)</f>
        <v>42821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DATE(Dateneingabe!$B$5,3,28)</f>
        <v>42822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DATE(Dateneingabe!$B$5,3,29)</f>
        <v>42823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1">
        <f>DATE(Dateneingabe!$B$5,3,30)</f>
        <v>42824</v>
      </c>
      <c r="B36" s="44">
        <v>0</v>
      </c>
      <c r="C36" s="44">
        <v>0</v>
      </c>
      <c r="D36" s="44">
        <v>0</v>
      </c>
      <c r="E36" s="22">
        <f t="shared" si="0"/>
        <v>0</v>
      </c>
      <c r="F36" s="46"/>
      <c r="G36" s="54"/>
    </row>
    <row r="37" spans="1:8" ht="15" customHeight="1" x14ac:dyDescent="0.25">
      <c r="A37" s="24">
        <f>DATE(Dateneingabe!$B$5,3,31)</f>
        <v>42825</v>
      </c>
      <c r="B37" s="45">
        <v>0</v>
      </c>
      <c r="C37" s="45">
        <v>0</v>
      </c>
      <c r="D37" s="45">
        <v>0</v>
      </c>
      <c r="E37" s="25">
        <f t="shared" si="0"/>
        <v>0</v>
      </c>
      <c r="F37" s="47"/>
      <c r="G37" s="54"/>
    </row>
    <row r="38" spans="1:8" ht="15" customHeight="1" x14ac:dyDescent="0.25">
      <c r="A38" s="26"/>
      <c r="B38" s="27"/>
      <c r="C38" s="27"/>
      <c r="D38" s="27"/>
      <c r="E38" s="28">
        <f>SUM(E7:E37)</f>
        <v>0</v>
      </c>
      <c r="G38" s="55"/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SUM(E7:E37)*24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Dateneingabe!B10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8">
    <cfRule type="timePeriod" dxfId="55" priority="5" timePeriod="today">
      <formula>FLOOR(A38,1)=TODAY()</formula>
    </cfRule>
    <cfRule type="expression" dxfId="54" priority="6">
      <formula>OR(WEEKDAY(A38,1)=7,WEEKDAY(A38,1)=1)</formula>
    </cfRule>
  </conditionalFormatting>
  <conditionalFormatting sqref="B38:D38 B7:E37">
    <cfRule type="cellIs" dxfId="53" priority="4" operator="equal">
      <formula>0</formula>
    </cfRule>
  </conditionalFormatting>
  <conditionalFormatting sqref="E38">
    <cfRule type="cellIs" dxfId="52" priority="3" operator="equal">
      <formula>0</formula>
    </cfRule>
  </conditionalFormatting>
  <conditionalFormatting sqref="A7:A37">
    <cfRule type="timePeriod" dxfId="51" priority="1" timePeriod="today">
      <formula>FLOOR(A7,1)=TODAY()</formula>
    </cfRule>
    <cfRule type="expression" dxfId="50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6" tint="0.39997558519241921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G5" s="13"/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DATE(Dateneingabe!$B$5,4,1)</f>
        <v>42826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2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DATE(Dateneingabe!$B$5,4,2)</f>
        <v>42827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DATE(Dateneingabe!$B$5,4,3)</f>
        <v>42828</v>
      </c>
      <c r="B9" s="44">
        <v>0</v>
      </c>
      <c r="C9" s="44">
        <v>0</v>
      </c>
      <c r="D9" s="44">
        <v>0</v>
      </c>
      <c r="E9" s="22">
        <f t="shared" ref="E9:E36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DATE(Dateneingabe!$B$5,4,4)</f>
        <v>42829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DATE(Dateneingabe!$B$5,4,5)</f>
        <v>42830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DATE(Dateneingabe!$B$5,4,6)</f>
        <v>42831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DATE(Dateneingabe!$B$5,4,7)</f>
        <v>42832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DATE(Dateneingabe!$B$5,4,8)</f>
        <v>42833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DATE(Dateneingabe!$B$5,4,9)</f>
        <v>42834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DATE(Dateneingabe!$B$5,4,10)</f>
        <v>42835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DATE(Dateneingabe!$B$5,4,11)</f>
        <v>42836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DATE(Dateneingabe!$B$5,4,12)</f>
        <v>42837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DATE(Dateneingabe!$B$5,4,13)</f>
        <v>42838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DATE(Dateneingabe!$B$5,4,14)</f>
        <v>42839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DATE(Dateneingabe!$B$5,4,15)</f>
        <v>42840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DATE(Dateneingabe!$B$5,4,16)</f>
        <v>42841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DATE(Dateneingabe!$B$5,4,17)</f>
        <v>42842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DATE(Dateneingabe!$B$5,4,18)</f>
        <v>42843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DATE(Dateneingabe!$B$5,4,19)</f>
        <v>42844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DATE(Dateneingabe!$B$5,4,20)</f>
        <v>42845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DATE(Dateneingabe!$B$5,4,21)</f>
        <v>42846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DATE(Dateneingabe!$B$5,4,22)</f>
        <v>42847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DATE(Dateneingabe!$B$5,4,23)</f>
        <v>42848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DATE(Dateneingabe!$B$5,4,24)</f>
        <v>42849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DATE(Dateneingabe!$B$5,4,25)</f>
        <v>42850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DATE(Dateneingabe!$B$5,4,26)</f>
        <v>42851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DATE(Dateneingabe!$B$5,4,27)</f>
        <v>42852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DATE(Dateneingabe!$B$5,4,28)</f>
        <v>42853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DATE(Dateneingabe!$B$5,4,29)</f>
        <v>42854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4">
        <f>DATE(Dateneingabe!$B$5,4,30)</f>
        <v>42855</v>
      </c>
      <c r="B36" s="45">
        <v>0</v>
      </c>
      <c r="C36" s="45">
        <v>0</v>
      </c>
      <c r="D36" s="45">
        <v>0</v>
      </c>
      <c r="E36" s="25">
        <f t="shared" si="0"/>
        <v>0</v>
      </c>
      <c r="F36" s="47"/>
      <c r="G36" s="54"/>
    </row>
    <row r="37" spans="1:8" ht="15" customHeight="1" x14ac:dyDescent="0.25">
      <c r="A37" s="21"/>
      <c r="E37" s="28">
        <f>SUM(E7:E36)</f>
        <v>0</v>
      </c>
      <c r="G37" s="54"/>
    </row>
    <row r="38" spans="1:8" ht="15" customHeight="1" x14ac:dyDescent="0.25">
      <c r="A38" s="21"/>
      <c r="G38" s="55"/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SUM(E7:E36)*24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Dateneingabe!B11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7:A38">
    <cfRule type="expression" dxfId="49" priority="7">
      <formula>OR(WEEKDAY(A36,1)=6,WEEKDAY(A36,1)=7)</formula>
    </cfRule>
  </conditionalFormatting>
  <conditionalFormatting sqref="B7:E36">
    <cfRule type="cellIs" dxfId="48" priority="4" operator="equal">
      <formula>0</formula>
    </cfRule>
  </conditionalFormatting>
  <conditionalFormatting sqref="E37">
    <cfRule type="cellIs" dxfId="47" priority="3" operator="equal">
      <formula>0</formula>
    </cfRule>
  </conditionalFormatting>
  <conditionalFormatting sqref="A7:A36">
    <cfRule type="timePeriod" dxfId="46" priority="1" timePeriod="today">
      <formula>FLOOR(A7,1)=TODAY()</formula>
    </cfRule>
    <cfRule type="expression" dxfId="45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6" tint="0.39997558519241921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DATE(Dateneingabe!$B$5,5,1)</f>
        <v>42856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DATE(Dateneingabe!$B$5,5,2)</f>
        <v>42857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DATE(Dateneingabe!$B$5,5,3)</f>
        <v>42858</v>
      </c>
      <c r="B9" s="44">
        <v>0</v>
      </c>
      <c r="C9" s="44">
        <v>0</v>
      </c>
      <c r="D9" s="44">
        <v>0</v>
      </c>
      <c r="E9" s="22">
        <f t="shared" ref="E9:E37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DATE(Dateneingabe!$B$5,5,4)</f>
        <v>42859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DATE(Dateneingabe!$B$5,5,5)</f>
        <v>42860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DATE(Dateneingabe!$B$5,5,6)</f>
        <v>42861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DATE(Dateneingabe!$B$5,5,7)</f>
        <v>42862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DATE(Dateneingabe!$B$5,5,8)</f>
        <v>42863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DATE(Dateneingabe!$B$5,5,9)</f>
        <v>42864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DATE(Dateneingabe!$B$5,5,10)</f>
        <v>42865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DATE(Dateneingabe!$B$5,5,11)</f>
        <v>42866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DATE(Dateneingabe!$B$5,5,12)</f>
        <v>42867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DATE(Dateneingabe!$B$5,5,13)</f>
        <v>42868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DATE(Dateneingabe!$B$5,5,14)</f>
        <v>42869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DATE(Dateneingabe!$B$5,5,15)</f>
        <v>42870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DATE(Dateneingabe!$B$5,5,16)</f>
        <v>42871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DATE(Dateneingabe!$B$5,5,17)</f>
        <v>42872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DATE(Dateneingabe!$B$5,5,18)</f>
        <v>42873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DATE(Dateneingabe!$B$5,5,19)</f>
        <v>42874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DATE(Dateneingabe!$B$5,5,20)</f>
        <v>42875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DATE(Dateneingabe!$B$5,5,21)</f>
        <v>42876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DATE(Dateneingabe!$B$5,5,22)</f>
        <v>42877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DATE(Dateneingabe!$B$5,5,23)</f>
        <v>42878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DATE(Dateneingabe!$B$5,5,24)</f>
        <v>42879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DATE(Dateneingabe!$B$5,5,25)</f>
        <v>42880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DATE(Dateneingabe!$B$5,5,26)</f>
        <v>42881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DATE(Dateneingabe!$B$5,5,27)</f>
        <v>42882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DATE(Dateneingabe!$B$5,5,28)</f>
        <v>42883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DATE(Dateneingabe!$B$5,5,29)</f>
        <v>42884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1">
        <f>DATE(Dateneingabe!$B$5,5,30)</f>
        <v>42885</v>
      </c>
      <c r="B36" s="44">
        <v>0</v>
      </c>
      <c r="C36" s="44">
        <v>0</v>
      </c>
      <c r="D36" s="44">
        <v>0</v>
      </c>
      <c r="E36" s="22">
        <f t="shared" si="0"/>
        <v>0</v>
      </c>
      <c r="F36" s="46"/>
      <c r="G36" s="54"/>
    </row>
    <row r="37" spans="1:8" ht="15" customHeight="1" x14ac:dyDescent="0.25">
      <c r="A37" s="24">
        <f>DATE(Dateneingabe!$B$5,5,31)</f>
        <v>42886</v>
      </c>
      <c r="B37" s="45">
        <v>0</v>
      </c>
      <c r="C37" s="45">
        <v>0</v>
      </c>
      <c r="D37" s="45">
        <v>0</v>
      </c>
      <c r="E37" s="25">
        <f t="shared" si="0"/>
        <v>0</v>
      </c>
      <c r="F37" s="47"/>
      <c r="G37" s="55"/>
    </row>
    <row r="38" spans="1:8" ht="15" customHeight="1" x14ac:dyDescent="0.25">
      <c r="A38" s="26"/>
      <c r="B38" s="27"/>
      <c r="C38" s="27"/>
      <c r="D38" s="27"/>
      <c r="E38" s="28">
        <f>SUM(E7:E37)</f>
        <v>0</v>
      </c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SUM(E7:E37)*24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Dateneingabe!B12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8">
    <cfRule type="timePeriod" dxfId="44" priority="5" timePeriod="today">
      <formula>FLOOR(A38,1)=TODAY()</formula>
    </cfRule>
    <cfRule type="expression" dxfId="43" priority="6">
      <formula>OR(WEEKDAY(A38,1)=7,WEEKDAY(A38,1)=1)</formula>
    </cfRule>
  </conditionalFormatting>
  <conditionalFormatting sqref="B7:E37 B38:D38">
    <cfRule type="cellIs" dxfId="42" priority="4" operator="equal">
      <formula>0</formula>
    </cfRule>
  </conditionalFormatting>
  <conditionalFormatting sqref="E38">
    <cfRule type="cellIs" dxfId="41" priority="3" operator="equal">
      <formula>0</formula>
    </cfRule>
  </conditionalFormatting>
  <conditionalFormatting sqref="A7:A37">
    <cfRule type="timePeriod" dxfId="40" priority="1" timePeriod="today">
      <formula>FLOOR(A7,1)=TODAY()</formula>
    </cfRule>
    <cfRule type="expression" dxfId="39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6" tint="0.39997558519241921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DATE(Dateneingabe!$B$5,6,1)</f>
        <v>42887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DATE(Dateneingabe!$B$5,6,2)</f>
        <v>42888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DATE(Dateneingabe!$B$5,6,3)</f>
        <v>42889</v>
      </c>
      <c r="B9" s="44">
        <v>0</v>
      </c>
      <c r="C9" s="44">
        <v>0</v>
      </c>
      <c r="D9" s="44">
        <v>0</v>
      </c>
      <c r="E9" s="22">
        <f t="shared" ref="E9:E36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DATE(Dateneingabe!$B$5,6,4)</f>
        <v>42890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DATE(Dateneingabe!$B$5,6,5)</f>
        <v>42891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DATE(Dateneingabe!$B$5,6,6)</f>
        <v>42892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DATE(Dateneingabe!$B$5,6,7)</f>
        <v>42893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DATE(Dateneingabe!$B$5,6,8)</f>
        <v>42894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DATE(Dateneingabe!$B$5,6,9)</f>
        <v>42895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DATE(Dateneingabe!$B$5,6,10)</f>
        <v>42896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DATE(Dateneingabe!$B$5,6,11)</f>
        <v>42897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DATE(Dateneingabe!$B$5,6,12)</f>
        <v>42898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DATE(Dateneingabe!$B$5,6,13)</f>
        <v>42899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DATE(Dateneingabe!$B$5,6,14)</f>
        <v>42900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DATE(Dateneingabe!$B$5,6,15)</f>
        <v>42901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DATE(Dateneingabe!$B$5,6,16)</f>
        <v>42902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DATE(Dateneingabe!$B$5,6,17)</f>
        <v>42903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DATE(Dateneingabe!$B$5,6,18)</f>
        <v>42904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DATE(Dateneingabe!$B$5,6,19)</f>
        <v>42905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DATE(Dateneingabe!$B$5,6,20)</f>
        <v>42906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DATE(Dateneingabe!$B$5,6,21)</f>
        <v>42907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DATE(Dateneingabe!$B$5,6,22)</f>
        <v>42908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DATE(Dateneingabe!$B$5,6,23)</f>
        <v>42909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DATE(Dateneingabe!$B$5,6,24)</f>
        <v>42910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DATE(Dateneingabe!$B$5,6,25)</f>
        <v>42911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DATE(Dateneingabe!$B$5,6,26)</f>
        <v>42912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DATE(Dateneingabe!$B$5,6,27)</f>
        <v>42913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DATE(Dateneingabe!$B$5,6,28)</f>
        <v>42914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DATE(Dateneingabe!$B$5,6,29)</f>
        <v>42915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4">
        <f>DATE(Dateneingabe!$B$5,6,30)</f>
        <v>42916</v>
      </c>
      <c r="B36" s="45">
        <v>0</v>
      </c>
      <c r="C36" s="45">
        <v>0</v>
      </c>
      <c r="D36" s="45">
        <v>0</v>
      </c>
      <c r="E36" s="25">
        <f t="shared" si="0"/>
        <v>0</v>
      </c>
      <c r="F36" s="47"/>
      <c r="G36" s="54"/>
    </row>
    <row r="37" spans="1:8" ht="15" customHeight="1" x14ac:dyDescent="0.25">
      <c r="A37" s="21"/>
      <c r="E37" s="28">
        <f>SUM(E7:E36)</f>
        <v>0</v>
      </c>
      <c r="G37" s="55"/>
    </row>
    <row r="38" spans="1:8" ht="15" customHeight="1" x14ac:dyDescent="0.25">
      <c r="A38" s="21"/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SUM(E7:E36)*24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Dateneingabe!B13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7:A38">
    <cfRule type="expression" dxfId="38" priority="7">
      <formula>OR(WEEKDAY(A36,1)=6,WEEKDAY(A36,1)=7)</formula>
    </cfRule>
  </conditionalFormatting>
  <conditionalFormatting sqref="B7:E36">
    <cfRule type="cellIs" dxfId="37" priority="4" operator="equal">
      <formula>0</formula>
    </cfRule>
  </conditionalFormatting>
  <conditionalFormatting sqref="E37">
    <cfRule type="cellIs" dxfId="36" priority="3" operator="equal">
      <formula>0</formula>
    </cfRule>
  </conditionalFormatting>
  <conditionalFormatting sqref="A7:A36">
    <cfRule type="timePeriod" dxfId="35" priority="1" timePeriod="today">
      <formula>FLOOR(A7,1)=TODAY()</formula>
    </cfRule>
    <cfRule type="expression" dxfId="34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6" tint="0.39997558519241921"/>
  </sheetPr>
  <dimension ref="A1:H46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style="1" bestFit="1" customWidth="1"/>
    <col min="2" max="5" width="11.42578125" style="1"/>
    <col min="6" max="6" width="19.28515625" style="1" customWidth="1"/>
    <col min="7" max="7" width="4" style="1" customWidth="1"/>
    <col min="8" max="16384" width="11.42578125" style="1"/>
  </cols>
  <sheetData>
    <row r="1" spans="1:8" s="13" customFormat="1" ht="15" customHeight="1" x14ac:dyDescent="0.25">
      <c r="A1" s="12" t="s">
        <v>2</v>
      </c>
      <c r="B1" s="97" t="str">
        <f>Dateneingabe!B1</f>
        <v>Testperson</v>
      </c>
      <c r="C1" s="97"/>
      <c r="D1" s="97"/>
      <c r="E1" s="97"/>
      <c r="H1" s="39" t="s">
        <v>51</v>
      </c>
    </row>
    <row r="2" spans="1:8" s="13" customFormat="1" ht="30" customHeight="1" x14ac:dyDescent="0.25">
      <c r="A2" s="14" t="s">
        <v>5</v>
      </c>
      <c r="B2" s="93" t="str">
        <f>Dateneingabe!B2</f>
        <v>FB Test</v>
      </c>
      <c r="C2" s="93"/>
      <c r="D2" s="93"/>
      <c r="E2" s="93"/>
      <c r="H2" s="13" t="str">
        <f>Dateneingabe!A27</f>
        <v>- Es ist die tatsächlich geleistete Arbeitszeit einzutragen.</v>
      </c>
    </row>
    <row r="3" spans="1:8" s="13" customFormat="1" ht="15" customHeight="1" x14ac:dyDescent="0.25">
      <c r="A3" s="14" t="s">
        <v>6</v>
      </c>
      <c r="B3" s="96" t="str">
        <f>Dateneingabe!B3</f>
        <v>Prof. Test</v>
      </c>
      <c r="C3" s="96"/>
      <c r="D3" s="96"/>
      <c r="E3" s="96"/>
      <c r="H3" s="56" t="str">
        <f>Dateneingabe!A28</f>
        <v>- Bitte Beginn und Ende sowie Pausenzeit im Format SS:MM eingeben.</v>
      </c>
    </row>
    <row r="4" spans="1:8" s="13" customFormat="1" ht="15" customHeight="1" x14ac:dyDescent="0.25">
      <c r="A4" s="14" t="s">
        <v>32</v>
      </c>
      <c r="B4" s="94" t="str">
        <f>Dateneingabe!B4</f>
        <v>Studentische Hilfskraft</v>
      </c>
      <c r="C4" s="94"/>
      <c r="D4" s="94"/>
      <c r="E4" s="94"/>
      <c r="H4" s="13" t="str">
        <f>Dateneingabe!A29</f>
        <v>- Bitte beachten Sie die Ruhepausen:</v>
      </c>
    </row>
    <row r="5" spans="1:8" ht="15" customHeight="1" x14ac:dyDescent="0.25">
      <c r="E5" s="53" t="s">
        <v>86</v>
      </c>
      <c r="H5" s="1" t="str">
        <f>Dateneingabe!A30</f>
        <v xml:space="preserve">   Bei 6 bis 9 Stunden Arbeitszeit pro Tag   =&gt;  30 Min. oder 2 x 15 Min. Pause</v>
      </c>
    </row>
    <row r="6" spans="1:8" ht="15" customHeight="1" x14ac:dyDescent="0.25">
      <c r="A6" s="18" t="s">
        <v>0</v>
      </c>
      <c r="B6" s="18" t="s">
        <v>65</v>
      </c>
      <c r="C6" s="18" t="s">
        <v>66</v>
      </c>
      <c r="D6" s="18" t="s">
        <v>1</v>
      </c>
      <c r="E6" s="19" t="s">
        <v>87</v>
      </c>
      <c r="F6" s="31" t="s">
        <v>29</v>
      </c>
      <c r="G6" s="52"/>
      <c r="H6" s="1" t="str">
        <f>Dateneingabe!A31</f>
        <v xml:space="preserve">   Bei 9 bis 10 Stunden Arbeitszeit pro Tag   =&gt;  45 Min. oder 3 x 15 Min. Pause</v>
      </c>
    </row>
    <row r="7" spans="1:8" ht="15" customHeight="1" x14ac:dyDescent="0.25">
      <c r="A7" s="21">
        <f>DATE(Dateneingabe!$B$5,7,1)</f>
        <v>42917</v>
      </c>
      <c r="B7" s="44">
        <v>0</v>
      </c>
      <c r="C7" s="44">
        <v>0</v>
      </c>
      <c r="D7" s="44">
        <v>0</v>
      </c>
      <c r="E7" s="22">
        <f>C7-B7-D7</f>
        <v>0</v>
      </c>
      <c r="F7" s="46"/>
      <c r="G7" s="54"/>
      <c r="H7" s="1" t="str">
        <f>Dateneingabe!A32</f>
        <v xml:space="preserve">- Wenn der Arbeitstag regelmäßig und im vorhinein festgelegt worden ist und die geringfügig </v>
      </c>
    </row>
    <row r="8" spans="1:8" ht="15" customHeight="1" x14ac:dyDescent="0.25">
      <c r="A8" s="21">
        <f>DATE(Dateneingabe!$B$5,7,2)</f>
        <v>42918</v>
      </c>
      <c r="B8" s="44">
        <v>0</v>
      </c>
      <c r="C8" s="44">
        <v>0</v>
      </c>
      <c r="D8" s="44">
        <v>0</v>
      </c>
      <c r="E8" s="22">
        <f>C8-B8-D8</f>
        <v>0</v>
      </c>
      <c r="F8" s="46"/>
      <c r="G8" s="54"/>
      <c r="H8" s="1" t="str">
        <f>Dateneingabe!A33</f>
        <v xml:space="preserve">   beschäftigte Person an dem betreffenden Tag erkrankt war bzw. dies ein Feiertag ist, so ist die </v>
      </c>
    </row>
    <row r="9" spans="1:8" ht="15" customHeight="1" x14ac:dyDescent="0.25">
      <c r="A9" s="21">
        <f>DATE(Dateneingabe!$B$5,7,3)</f>
        <v>42919</v>
      </c>
      <c r="B9" s="44">
        <v>0</v>
      </c>
      <c r="C9" s="44">
        <v>0</v>
      </c>
      <c r="D9" s="44">
        <v>0</v>
      </c>
      <c r="E9" s="22">
        <f t="shared" ref="E9:E37" si="0">C9-B9-D9</f>
        <v>0</v>
      </c>
      <c r="F9" s="46"/>
      <c r="G9" s="54"/>
      <c r="H9" s="1" t="str">
        <f>Dateneingabe!A34</f>
        <v xml:space="preserve">   festgelegte Arbeitszeit einzutragen (Lohnfortzahlung an Krankheits- und Feiertagen).</v>
      </c>
    </row>
    <row r="10" spans="1:8" ht="15" customHeight="1" x14ac:dyDescent="0.25">
      <c r="A10" s="21">
        <f>DATE(Dateneingabe!$B$5,7,4)</f>
        <v>42920</v>
      </c>
      <c r="B10" s="44">
        <v>0</v>
      </c>
      <c r="C10" s="44">
        <v>0</v>
      </c>
      <c r="D10" s="44">
        <v>0</v>
      </c>
      <c r="E10" s="22">
        <f t="shared" si="0"/>
        <v>0</v>
      </c>
      <c r="F10" s="46"/>
      <c r="G10" s="54"/>
      <c r="H10" s="1" t="str">
        <f>Dateneingabe!A35</f>
        <v xml:space="preserve">- Die Arbeitszeit ist nach dem Mindestlohngesetz spätestens bis zum Ablauf des siebten auf den </v>
      </c>
    </row>
    <row r="11" spans="1:8" ht="15" customHeight="1" x14ac:dyDescent="0.25">
      <c r="A11" s="21">
        <f>DATE(Dateneingabe!$B$5,7,5)</f>
        <v>42921</v>
      </c>
      <c r="B11" s="44">
        <v>0</v>
      </c>
      <c r="C11" s="44">
        <v>0</v>
      </c>
      <c r="D11" s="44">
        <v>0</v>
      </c>
      <c r="E11" s="22">
        <f t="shared" si="0"/>
        <v>0</v>
      </c>
      <c r="F11" s="46"/>
      <c r="G11" s="54"/>
      <c r="H11" s="1" t="str">
        <f>Dateneingabe!A36</f>
        <v xml:space="preserve">   Tag der Arbeitsleistung folgenden Kalendertages aufzuzeichnen.</v>
      </c>
    </row>
    <row r="12" spans="1:8" ht="15" customHeight="1" x14ac:dyDescent="0.25">
      <c r="A12" s="21">
        <f>DATE(Dateneingabe!$B$5,7,6)</f>
        <v>42922</v>
      </c>
      <c r="B12" s="44">
        <v>0</v>
      </c>
      <c r="C12" s="44">
        <v>0</v>
      </c>
      <c r="D12" s="44">
        <v>0</v>
      </c>
      <c r="E12" s="22">
        <f t="shared" si="0"/>
        <v>0</v>
      </c>
      <c r="F12" s="46"/>
      <c r="G12" s="54"/>
      <c r="H12" s="1" t="str">
        <f>Dateneingabe!A37</f>
        <v>- Die Arbeitszeitnachweise bitte monatlich ausdrucken, für die Dauer des Beschäftigungs-</v>
      </c>
    </row>
    <row r="13" spans="1:8" ht="15" customHeight="1" x14ac:dyDescent="0.25">
      <c r="A13" s="21">
        <f>DATE(Dateneingabe!$B$5,7,7)</f>
        <v>42923</v>
      </c>
      <c r="B13" s="44">
        <v>0</v>
      </c>
      <c r="C13" s="44">
        <v>0</v>
      </c>
      <c r="D13" s="44">
        <v>0</v>
      </c>
      <c r="E13" s="22">
        <f t="shared" si="0"/>
        <v>0</v>
      </c>
      <c r="F13" s="46"/>
      <c r="G13" s="54"/>
      <c r="H13" s="1" t="str">
        <f>Dateneingabe!A38</f>
        <v xml:space="preserve">  verhältnisses aufbewahren und nach Ende der Beschäftigung an die Stelle abgeben, die den </v>
      </c>
    </row>
    <row r="14" spans="1:8" ht="15" customHeight="1" x14ac:dyDescent="0.25">
      <c r="A14" s="21">
        <f>DATE(Dateneingabe!$B$5,7,8)</f>
        <v>42924</v>
      </c>
      <c r="B14" s="44">
        <v>0</v>
      </c>
      <c r="C14" s="44">
        <v>0</v>
      </c>
      <c r="D14" s="44">
        <v>0</v>
      </c>
      <c r="E14" s="22">
        <f t="shared" si="0"/>
        <v>0</v>
      </c>
      <c r="F14" s="46"/>
      <c r="G14" s="54"/>
      <c r="H14" s="1" t="str">
        <f>Dateneingabe!A39</f>
        <v xml:space="preserve">  Arbeitsvertrag abgeschlossen hat.</v>
      </c>
    </row>
    <row r="15" spans="1:8" ht="15" customHeight="1" x14ac:dyDescent="0.25">
      <c r="A15" s="21">
        <f>DATE(Dateneingabe!$B$5,7,9)</f>
        <v>42925</v>
      </c>
      <c r="B15" s="44">
        <v>0</v>
      </c>
      <c r="C15" s="44">
        <v>0</v>
      </c>
      <c r="D15" s="44">
        <v>0</v>
      </c>
      <c r="E15" s="22">
        <f t="shared" si="0"/>
        <v>0</v>
      </c>
      <c r="F15" s="46"/>
      <c r="G15" s="54"/>
    </row>
    <row r="16" spans="1:8" ht="15" customHeight="1" x14ac:dyDescent="0.25">
      <c r="A16" s="21">
        <f>DATE(Dateneingabe!$B$5,7,10)</f>
        <v>42926</v>
      </c>
      <c r="B16" s="44">
        <v>0</v>
      </c>
      <c r="C16" s="44">
        <v>0</v>
      </c>
      <c r="D16" s="44">
        <v>0</v>
      </c>
      <c r="E16" s="22">
        <f t="shared" si="0"/>
        <v>0</v>
      </c>
      <c r="F16" s="46"/>
      <c r="G16" s="54"/>
    </row>
    <row r="17" spans="1:7" ht="15" customHeight="1" x14ac:dyDescent="0.25">
      <c r="A17" s="21">
        <f>DATE(Dateneingabe!$B$5,7,11)</f>
        <v>42927</v>
      </c>
      <c r="B17" s="44">
        <v>0</v>
      </c>
      <c r="C17" s="44">
        <v>0</v>
      </c>
      <c r="D17" s="44">
        <v>0</v>
      </c>
      <c r="E17" s="22">
        <f t="shared" si="0"/>
        <v>0</v>
      </c>
      <c r="F17" s="46"/>
      <c r="G17" s="54"/>
    </row>
    <row r="18" spans="1:7" ht="15" customHeight="1" x14ac:dyDescent="0.25">
      <c r="A18" s="21">
        <f>DATE(Dateneingabe!$B$5,7,12)</f>
        <v>42928</v>
      </c>
      <c r="B18" s="44">
        <v>0</v>
      </c>
      <c r="C18" s="44">
        <v>0</v>
      </c>
      <c r="D18" s="44">
        <v>0</v>
      </c>
      <c r="E18" s="22">
        <f t="shared" si="0"/>
        <v>0</v>
      </c>
      <c r="F18" s="46"/>
      <c r="G18" s="54"/>
    </row>
    <row r="19" spans="1:7" ht="15" customHeight="1" x14ac:dyDescent="0.25">
      <c r="A19" s="21">
        <f>DATE(Dateneingabe!$B$5,7,13)</f>
        <v>42929</v>
      </c>
      <c r="B19" s="44">
        <v>0</v>
      </c>
      <c r="C19" s="44">
        <v>0</v>
      </c>
      <c r="D19" s="44">
        <v>0</v>
      </c>
      <c r="E19" s="22">
        <f t="shared" si="0"/>
        <v>0</v>
      </c>
      <c r="F19" s="46"/>
      <c r="G19" s="54"/>
    </row>
    <row r="20" spans="1:7" ht="15" customHeight="1" x14ac:dyDescent="0.25">
      <c r="A20" s="21">
        <f>DATE(Dateneingabe!$B$5,7,14)</f>
        <v>42930</v>
      </c>
      <c r="B20" s="44">
        <v>0</v>
      </c>
      <c r="C20" s="44">
        <v>0</v>
      </c>
      <c r="D20" s="44">
        <v>0</v>
      </c>
      <c r="E20" s="22">
        <f t="shared" si="0"/>
        <v>0</v>
      </c>
      <c r="F20" s="46"/>
      <c r="G20" s="54"/>
    </row>
    <row r="21" spans="1:7" ht="15" customHeight="1" x14ac:dyDescent="0.25">
      <c r="A21" s="21">
        <f>DATE(Dateneingabe!$B$5,7,15)</f>
        <v>42931</v>
      </c>
      <c r="B21" s="44">
        <v>0</v>
      </c>
      <c r="C21" s="44">
        <v>0</v>
      </c>
      <c r="D21" s="44">
        <v>0</v>
      </c>
      <c r="E21" s="22">
        <f t="shared" si="0"/>
        <v>0</v>
      </c>
      <c r="F21" s="46"/>
      <c r="G21" s="54"/>
    </row>
    <row r="22" spans="1:7" ht="15" customHeight="1" x14ac:dyDescent="0.25">
      <c r="A22" s="21">
        <f>DATE(Dateneingabe!$B$5,7,16)</f>
        <v>42932</v>
      </c>
      <c r="B22" s="44">
        <v>0</v>
      </c>
      <c r="C22" s="44">
        <v>0</v>
      </c>
      <c r="D22" s="44">
        <v>0</v>
      </c>
      <c r="E22" s="22">
        <f t="shared" si="0"/>
        <v>0</v>
      </c>
      <c r="F22" s="46"/>
      <c r="G22" s="54"/>
    </row>
    <row r="23" spans="1:7" ht="15" customHeight="1" x14ac:dyDescent="0.25">
      <c r="A23" s="21">
        <f>DATE(Dateneingabe!$B$5,7,17)</f>
        <v>42933</v>
      </c>
      <c r="B23" s="44">
        <v>0</v>
      </c>
      <c r="C23" s="44">
        <v>0</v>
      </c>
      <c r="D23" s="44">
        <v>0</v>
      </c>
      <c r="E23" s="22">
        <f t="shared" si="0"/>
        <v>0</v>
      </c>
      <c r="F23" s="46"/>
      <c r="G23" s="54"/>
    </row>
    <row r="24" spans="1:7" ht="15" customHeight="1" x14ac:dyDescent="0.25">
      <c r="A24" s="21">
        <f>DATE(Dateneingabe!$B$5,7,18)</f>
        <v>42934</v>
      </c>
      <c r="B24" s="44">
        <v>0</v>
      </c>
      <c r="C24" s="44">
        <v>0</v>
      </c>
      <c r="D24" s="44">
        <v>0</v>
      </c>
      <c r="E24" s="22">
        <f t="shared" si="0"/>
        <v>0</v>
      </c>
      <c r="F24" s="46"/>
      <c r="G24" s="54"/>
    </row>
    <row r="25" spans="1:7" ht="15" customHeight="1" x14ac:dyDescent="0.25">
      <c r="A25" s="21">
        <f>DATE(Dateneingabe!$B$5,7,19)</f>
        <v>42935</v>
      </c>
      <c r="B25" s="44">
        <v>0</v>
      </c>
      <c r="C25" s="44">
        <v>0</v>
      </c>
      <c r="D25" s="44">
        <v>0</v>
      </c>
      <c r="E25" s="22">
        <f t="shared" si="0"/>
        <v>0</v>
      </c>
      <c r="F25" s="46"/>
      <c r="G25" s="54"/>
    </row>
    <row r="26" spans="1:7" ht="15" customHeight="1" x14ac:dyDescent="0.25">
      <c r="A26" s="21">
        <f>DATE(Dateneingabe!$B$5,7,20)</f>
        <v>42936</v>
      </c>
      <c r="B26" s="44">
        <v>0</v>
      </c>
      <c r="C26" s="44">
        <v>0</v>
      </c>
      <c r="D26" s="44">
        <v>0</v>
      </c>
      <c r="E26" s="22">
        <f t="shared" si="0"/>
        <v>0</v>
      </c>
      <c r="F26" s="46"/>
      <c r="G26" s="54"/>
    </row>
    <row r="27" spans="1:7" ht="15" customHeight="1" x14ac:dyDescent="0.25">
      <c r="A27" s="21">
        <f>DATE(Dateneingabe!$B$5,7,21)</f>
        <v>42937</v>
      </c>
      <c r="B27" s="44">
        <v>0</v>
      </c>
      <c r="C27" s="44">
        <v>0</v>
      </c>
      <c r="D27" s="44">
        <v>0</v>
      </c>
      <c r="E27" s="22">
        <f t="shared" si="0"/>
        <v>0</v>
      </c>
      <c r="F27" s="46"/>
      <c r="G27" s="54"/>
    </row>
    <row r="28" spans="1:7" ht="15" customHeight="1" x14ac:dyDescent="0.25">
      <c r="A28" s="21">
        <f>DATE(Dateneingabe!$B$5,7,22)</f>
        <v>42938</v>
      </c>
      <c r="B28" s="44">
        <v>0</v>
      </c>
      <c r="C28" s="44">
        <v>0</v>
      </c>
      <c r="D28" s="44">
        <v>0</v>
      </c>
      <c r="E28" s="22">
        <f t="shared" si="0"/>
        <v>0</v>
      </c>
      <c r="F28" s="46"/>
      <c r="G28" s="54"/>
    </row>
    <row r="29" spans="1:7" ht="15" customHeight="1" x14ac:dyDescent="0.25">
      <c r="A29" s="21">
        <f>DATE(Dateneingabe!$B$5,7,23)</f>
        <v>42939</v>
      </c>
      <c r="B29" s="44">
        <v>0</v>
      </c>
      <c r="C29" s="44">
        <v>0</v>
      </c>
      <c r="D29" s="44">
        <v>0</v>
      </c>
      <c r="E29" s="22">
        <f t="shared" si="0"/>
        <v>0</v>
      </c>
      <c r="F29" s="46"/>
      <c r="G29" s="54"/>
    </row>
    <row r="30" spans="1:7" ht="15" customHeight="1" x14ac:dyDescent="0.25">
      <c r="A30" s="21">
        <f>DATE(Dateneingabe!$B$5,7,24)</f>
        <v>42940</v>
      </c>
      <c r="B30" s="44">
        <v>0</v>
      </c>
      <c r="C30" s="44">
        <v>0</v>
      </c>
      <c r="D30" s="44">
        <v>0</v>
      </c>
      <c r="E30" s="22">
        <f t="shared" si="0"/>
        <v>0</v>
      </c>
      <c r="F30" s="46"/>
      <c r="G30" s="54"/>
    </row>
    <row r="31" spans="1:7" ht="15" customHeight="1" x14ac:dyDescent="0.25">
      <c r="A31" s="21">
        <f>DATE(Dateneingabe!$B$5,7,25)</f>
        <v>42941</v>
      </c>
      <c r="B31" s="44">
        <v>0</v>
      </c>
      <c r="C31" s="44">
        <v>0</v>
      </c>
      <c r="D31" s="44">
        <v>0</v>
      </c>
      <c r="E31" s="22">
        <f t="shared" si="0"/>
        <v>0</v>
      </c>
      <c r="F31" s="46"/>
      <c r="G31" s="54"/>
    </row>
    <row r="32" spans="1:7" ht="15" customHeight="1" x14ac:dyDescent="0.25">
      <c r="A32" s="21">
        <f>DATE(Dateneingabe!$B$5,7,26)</f>
        <v>42942</v>
      </c>
      <c r="B32" s="44">
        <v>0</v>
      </c>
      <c r="C32" s="44">
        <v>0</v>
      </c>
      <c r="D32" s="44">
        <v>0</v>
      </c>
      <c r="E32" s="22">
        <f t="shared" si="0"/>
        <v>0</v>
      </c>
      <c r="F32" s="46"/>
      <c r="G32" s="54"/>
    </row>
    <row r="33" spans="1:8" ht="15" customHeight="1" x14ac:dyDescent="0.25">
      <c r="A33" s="21">
        <f>DATE(Dateneingabe!$B$5,7,27)</f>
        <v>42943</v>
      </c>
      <c r="B33" s="44">
        <v>0</v>
      </c>
      <c r="C33" s="44">
        <v>0</v>
      </c>
      <c r="D33" s="44">
        <v>0</v>
      </c>
      <c r="E33" s="22">
        <f t="shared" si="0"/>
        <v>0</v>
      </c>
      <c r="F33" s="46"/>
      <c r="G33" s="54"/>
    </row>
    <row r="34" spans="1:8" ht="15" customHeight="1" x14ac:dyDescent="0.25">
      <c r="A34" s="21">
        <f>DATE(Dateneingabe!$B$5,7,28)</f>
        <v>42944</v>
      </c>
      <c r="B34" s="44">
        <v>0</v>
      </c>
      <c r="C34" s="44">
        <v>0</v>
      </c>
      <c r="D34" s="44">
        <v>0</v>
      </c>
      <c r="E34" s="22">
        <f t="shared" si="0"/>
        <v>0</v>
      </c>
      <c r="F34" s="46"/>
      <c r="G34" s="54"/>
    </row>
    <row r="35" spans="1:8" ht="15" customHeight="1" x14ac:dyDescent="0.25">
      <c r="A35" s="21">
        <f>DATE(Dateneingabe!$B$5,7,29)</f>
        <v>42945</v>
      </c>
      <c r="B35" s="44">
        <v>0</v>
      </c>
      <c r="C35" s="44">
        <v>0</v>
      </c>
      <c r="D35" s="44">
        <v>0</v>
      </c>
      <c r="E35" s="22">
        <f t="shared" si="0"/>
        <v>0</v>
      </c>
      <c r="F35" s="46"/>
      <c r="G35" s="54"/>
    </row>
    <row r="36" spans="1:8" ht="15" customHeight="1" x14ac:dyDescent="0.25">
      <c r="A36" s="21">
        <f>DATE(Dateneingabe!$B$5,7,30)</f>
        <v>42946</v>
      </c>
      <c r="B36" s="44">
        <v>0</v>
      </c>
      <c r="C36" s="44">
        <v>0</v>
      </c>
      <c r="D36" s="44">
        <v>0</v>
      </c>
      <c r="E36" s="22">
        <f t="shared" si="0"/>
        <v>0</v>
      </c>
      <c r="F36" s="46"/>
      <c r="G36" s="54"/>
    </row>
    <row r="37" spans="1:8" ht="15" customHeight="1" x14ac:dyDescent="0.25">
      <c r="A37" s="24">
        <f>DATE(Dateneingabe!$B$5,7,31)</f>
        <v>42947</v>
      </c>
      <c r="B37" s="45">
        <v>0</v>
      </c>
      <c r="C37" s="45">
        <v>0</v>
      </c>
      <c r="D37" s="45">
        <v>0</v>
      </c>
      <c r="E37" s="25">
        <f t="shared" si="0"/>
        <v>0</v>
      </c>
      <c r="F37" s="47"/>
      <c r="G37" s="55"/>
    </row>
    <row r="38" spans="1:8" ht="15" customHeight="1" x14ac:dyDescent="0.25">
      <c r="A38" s="26"/>
      <c r="B38" s="27"/>
      <c r="C38" s="27"/>
      <c r="D38" s="27"/>
      <c r="E38" s="28">
        <f>SUM(E7:E37)</f>
        <v>0</v>
      </c>
    </row>
    <row r="39" spans="1:8" ht="15" customHeight="1" thickBot="1" x14ac:dyDescent="0.3"/>
    <row r="40" spans="1:8" ht="15" customHeight="1" thickBot="1" x14ac:dyDescent="0.3">
      <c r="C40" s="15"/>
      <c r="D40" s="29" t="s">
        <v>25</v>
      </c>
      <c r="E40" s="30">
        <f>SUM(E7:E37)*24</f>
        <v>0</v>
      </c>
      <c r="F40" s="1" t="s">
        <v>24</v>
      </c>
    </row>
    <row r="41" spans="1:8" ht="15" customHeight="1" thickBot="1" x14ac:dyDescent="0.3">
      <c r="C41" s="15"/>
      <c r="D41" s="29" t="s">
        <v>26</v>
      </c>
      <c r="E41" s="30">
        <f>Dateneingabe!B14</f>
        <v>0</v>
      </c>
      <c r="F41" s="1" t="s">
        <v>24</v>
      </c>
    </row>
    <row r="42" spans="1:8" ht="15" customHeight="1" thickBot="1" x14ac:dyDescent="0.3">
      <c r="C42" s="15"/>
      <c r="D42" s="29" t="s">
        <v>73</v>
      </c>
      <c r="E42" s="40">
        <f>E40-E41</f>
        <v>0</v>
      </c>
      <c r="F42" s="1" t="s">
        <v>24</v>
      </c>
      <c r="H42" s="1" t="s">
        <v>74</v>
      </c>
    </row>
    <row r="43" spans="1:8" ht="15" customHeight="1" x14ac:dyDescent="0.25"/>
    <row r="44" spans="1:8" ht="15" customHeight="1" x14ac:dyDescent="0.25"/>
    <row r="45" spans="1:8" ht="15" customHeight="1" x14ac:dyDescent="0.25">
      <c r="A45" s="15" t="s">
        <v>68</v>
      </c>
      <c r="B45" s="8"/>
      <c r="C45" s="8"/>
      <c r="D45" s="8"/>
    </row>
    <row r="46" spans="1:8" ht="15" customHeight="1" x14ac:dyDescent="0.25"/>
  </sheetData>
  <sheetProtection password="C54A" sheet="1" objects="1" scenarios="1"/>
  <mergeCells count="4">
    <mergeCell ref="B1:E1"/>
    <mergeCell ref="B2:E2"/>
    <mergeCell ref="B3:E3"/>
    <mergeCell ref="B4:E4"/>
  </mergeCells>
  <conditionalFormatting sqref="A38">
    <cfRule type="timePeriod" dxfId="33" priority="7" timePeriod="today">
      <formula>FLOOR(A38,1)=TODAY()</formula>
    </cfRule>
    <cfRule type="expression" dxfId="32" priority="8">
      <formula>OR(WEEKDAY(A38,1)=7,WEEKDAY(A38,1)=1)</formula>
    </cfRule>
  </conditionalFormatting>
  <conditionalFormatting sqref="B7:E37 B38:D38">
    <cfRule type="cellIs" dxfId="31" priority="6" operator="equal">
      <formula>0</formula>
    </cfRule>
  </conditionalFormatting>
  <conditionalFormatting sqref="E38">
    <cfRule type="cellIs" dxfId="30" priority="5" operator="equal">
      <formula>0</formula>
    </cfRule>
  </conditionalFormatting>
  <conditionalFormatting sqref="A7:A37">
    <cfRule type="timePeriod" dxfId="29" priority="1" timePeriod="today">
      <formula>FLOOR(A7,1)=TODAY()</formula>
    </cfRule>
    <cfRule type="expression" dxfId="28" priority="2">
      <formula>OR(WEEKDAY(A7,1)=7,WEEKDAY(A7,1)=1)</formula>
    </cfRule>
  </conditionalFormatting>
  <pageMargins left="0.70866141732283472" right="0.70866141732283472" top="1.2204724409448819" bottom="0.78740157480314965" header="0.6692913385826772" footer="0.31496062992125984"/>
  <pageSetup paperSize="9" orientation="portrait" horizontalDpi="4294967294" r:id="rId1"/>
  <headerFooter>
    <oddHeader>&amp;LStundennachweis über die geleistete Monatsarbeitszeit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15</vt:i4>
      </vt:variant>
    </vt:vector>
  </HeadingPairs>
  <TitlesOfParts>
    <vt:vector size="29" baseType="lpstr">
      <vt:lpstr>Dateneingabe</vt:lpstr>
      <vt:lpstr>Gesamtübersicht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Dateneingabe!Druckbereich</vt:lpstr>
      <vt:lpstr>Dezember!Druckbereich</vt:lpstr>
      <vt:lpstr>Februar!Druckbereich</vt:lpstr>
      <vt:lpstr>Gesamtübersicht!Druckbereich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Monat</vt:lpstr>
    </vt:vector>
  </TitlesOfParts>
  <Company>Philipps-Universität Marburg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Monatsarbeitszeit</dc:title>
  <dc:subject>Hilfskräfte</dc:subject>
  <dc:creator>Beyer, Deanny</dc:creator>
  <cp:lastModifiedBy>schenk</cp:lastModifiedBy>
  <cp:lastPrinted>2016-04-08T05:52:21Z</cp:lastPrinted>
  <dcterms:created xsi:type="dcterms:W3CDTF">2015-01-14T14:02:33Z</dcterms:created>
  <dcterms:modified xsi:type="dcterms:W3CDTF">2017-05-23T09:37:43Z</dcterms:modified>
</cp:coreProperties>
</file>